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mc:AlternateContent xmlns:mc="http://schemas.openxmlformats.org/markup-compatibility/2006">
    <mc:Choice Requires="x15">
      <x15ac:absPath xmlns:x15ac="http://schemas.microsoft.com/office/spreadsheetml/2010/11/ac" url="C:\Users\JessicaWilliamson\Dropbox (Avenir Health)\Avenir Track20\Track20 Tools\Final Annual Indicator Calculator\"/>
    </mc:Choice>
  </mc:AlternateContent>
  <xr:revisionPtr revIDLastSave="0" documentId="8_{305D0449-7DD9-433C-B54F-D73F0205361C}" xr6:coauthVersionLast="47" xr6:coauthVersionMax="47" xr10:uidLastSave="{00000000-0000-0000-0000-000000000000}"/>
  <bookViews>
    <workbookView xWindow="-120" yWindow="-120" windowWidth="29040" windowHeight="15840" tabRatio="655" xr2:uid="{00000000-000D-0000-FFFF-FFFF00000000}"/>
  </bookViews>
  <sheets>
    <sheet name="Review FPET Inputs" sheetId="18" r:id="rId1"/>
    <sheet name="PASTE IN FPET RESULTS" sheetId="54" r:id="rId2"/>
    <sheet name="Assumption Review" sheetId="49" r:id="rId3"/>
    <sheet name="Additional Annual Indicators" sheetId="51" r:id="rId4"/>
    <sheet name="Indicator Calculations" sheetId="42" state="hidden" r:id="rId5"/>
    <sheet name="Enter your National Goal" sheetId="38" r:id="rId6"/>
    <sheet name="Annual Results" sheetId="50" r:id="rId7"/>
    <sheet name="Indicator 1-9_Results" sheetId="19" state="hidden" r:id="rId8"/>
    <sheet name="Impact Calculations" sheetId="30" state="hidden" r:id="rId9"/>
    <sheet name="Progress Brief" sheetId="35" r:id="rId10"/>
    <sheet name="Reviewing Confidence Interval" sheetId="53" r:id="rId11"/>
    <sheet name="WPP 2019" sheetId="17" state="hidden" r:id="rId12"/>
    <sheet name="WPP_Births 2019" sheetId="28" state="hidden" r:id="rId13"/>
    <sheet name="% Married 2020" sheetId="48" state="hidden" r:id="rId14"/>
    <sheet name="Abortion rates" sheetId="26" state="hidden" r:id="rId15"/>
    <sheet name="Pregnancy and failure rates" sheetId="27" state="hidden" r:id="rId16"/>
    <sheet name="Modern Method Mix 2020 Update" sheetId="40" state="hidden" r:id="rId17"/>
    <sheet name="DHS_planning status" sheetId="25" state="hidden" r:id="rId18"/>
    <sheet name="MMR 2017_WHO" sheetId="33" state="hidden" r:id="rId19"/>
    <sheet name="2019 Report Estimates" sheetId="44" state="hidden" r:id="rId20"/>
    <sheet name="Region List" sheetId="37" state="hidden" r:id="rId21"/>
  </sheets>
  <externalReferences>
    <externalReference r:id="rId22"/>
  </externalReferences>
  <definedNames>
    <definedName name="_xlnm._FilterDatabase" localSheetId="13" hidden="1">'% Married 2020'!$A$2:$AG$201</definedName>
    <definedName name="_xlnm._FilterDatabase" localSheetId="3" hidden="1">'Additional Annual Indicators'!#REF!</definedName>
    <definedName name="_xlnm._FilterDatabase" localSheetId="17" hidden="1">'DHS_planning status'!$A$2:$D$95</definedName>
    <definedName name="_xlnm._FilterDatabase" localSheetId="1" hidden="1">'PASTE IN FPET RESULTS'!$A$1:$AB$1282</definedName>
    <definedName name="_xlnm._FilterDatabase" localSheetId="9" hidden="1">'Progress Brief'!$V$199:$W$209</definedName>
    <definedName name="_xlnm._FilterDatabase" localSheetId="20" hidden="1">'Region List'!$C$5:$F$246</definedName>
    <definedName name="_xlnm._FilterDatabase" localSheetId="11" hidden="1">'WPP 2019'!$A$2:$AG$201</definedName>
    <definedName name="_Toc53755147" localSheetId="3">'Additional Annual Indicators'!#REF!</definedName>
    <definedName name="Country">'Review FPET Inputs'!$D$5</definedName>
    <definedName name="Current_Trend">OFFSET('Progress Brief'!$V$25, 0, 0, 1, COUNT('Progress Brief'!$V$24:$AN$24))</definedName>
    <definedName name="English">"English"</definedName>
    <definedName name="Goal">OFFSET('Progress Brief'!$V$26, 0, 0, 1, COUNT('Progress Brief'!$V$24:$AN$24))</definedName>
    <definedName name="Goal_Year">OFFSET('Progress Brief'!$V$24, 0, 0, 1, COUNT('Progress Brief'!$V$24:$AN$24))</definedName>
    <definedName name="HTML_CodePage" hidden="1">1252</definedName>
    <definedName name="HTML_Control" localSheetId="19" hidden="1">{"'xls'!$A$71:$A$78","'xls'!$A$1:$J$77"}</definedName>
    <definedName name="HTML_Control" localSheetId="14" hidden="1">{"'xls'!$A$71:$A$78","'xls'!$A$1:$J$77"}</definedName>
    <definedName name="HTML_Control" localSheetId="17" hidden="1">{"'xls'!$A$71:$A$78","'xls'!$A$1:$J$77"}</definedName>
    <definedName name="HTML_Control" localSheetId="8" hidden="1">{"'xls'!$A$71:$A$78","'xls'!$A$1:$J$77"}</definedName>
    <definedName name="HTML_Control" localSheetId="18" hidden="1">{"'xls'!$A$71:$A$78","'xls'!$A$1:$J$77"}</definedName>
    <definedName name="HTML_Control" localSheetId="15" hidden="1">{"'xls'!$A$71:$A$78","'xls'!$A$1:$J$77"}</definedName>
    <definedName name="HTML_Control" localSheetId="12" hidden="1">{"'xls'!$A$71:$A$78","'xls'!$A$1:$J$77"}</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Language">'Review FPET Inputs'!$D$7</definedName>
    <definedName name="Lower_Bound">OFFSET('Progress Brief'!$V$27, 0, 0, 1, COUNT('Progress Brief'!$V$24:$AN$24))</definedName>
    <definedName name="oceania" localSheetId="20">'Region List'!$E$222</definedName>
    <definedName name="_xlnm.Print_Area" localSheetId="6">'Annual Results'!$A$1:$V$77</definedName>
    <definedName name="_xlnm.Print_Area" localSheetId="7">'Indicator 1-9_Results'!$A$1:$S$44</definedName>
    <definedName name="_xlnm.Print_Area" localSheetId="9">'Progress Brief'!$B$1:$P$133</definedName>
    <definedName name="Trend">OFFSET('Progress Brief'!$V$25, 0, 0, COUNTA('Progress Brief'!$V$24:$AN$24), 1)</definedName>
    <definedName name="Upper_Bound">OFFSET('Progress Brief'!$V$28, 0, 0, 1, COUNT('Progress Brief'!$V$24:$AN$24))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35" l="1"/>
  <c r="V6" i="38"/>
  <c r="W23" i="38" s="1"/>
  <c r="AP22" i="35" s="1"/>
  <c r="U23" i="35"/>
  <c r="D8" i="30"/>
  <c r="N25" i="35"/>
  <c r="U22" i="38"/>
  <c r="C22" i="38"/>
  <c r="C62" i="51"/>
  <c r="C54" i="51"/>
  <c r="C51" i="51"/>
  <c r="C48" i="51"/>
  <c r="C42" i="51"/>
  <c r="C32" i="51"/>
  <c r="C40" i="51"/>
  <c r="C30" i="51"/>
  <c r="C10" i="51"/>
  <c r="C22" i="35" l="1"/>
  <c r="U22" i="35"/>
  <c r="M132" i="35"/>
  <c r="B3" i="51"/>
  <c r="B4" i="51"/>
  <c r="B91" i="18"/>
  <c r="B25" i="18" l="1"/>
  <c r="C65" i="51"/>
  <c r="E12" i="51"/>
  <c r="B31" i="50"/>
  <c r="B20" i="50"/>
  <c r="B9" i="50"/>
  <c r="B73" i="50"/>
  <c r="Y32" i="35"/>
  <c r="U101" i="35"/>
  <c r="G70" i="51"/>
  <c r="AQ6" i="35"/>
  <c r="AQ43" i="35"/>
  <c r="C40" i="35"/>
  <c r="C18" i="35"/>
  <c r="L25" i="35"/>
  <c r="J15" i="35"/>
  <c r="AQ3" i="35"/>
  <c r="U100" i="35"/>
  <c r="B26" i="18"/>
  <c r="T70" i="50"/>
  <c r="O64" i="50"/>
  <c r="B77" i="50"/>
  <c r="R65" i="50"/>
  <c r="R61" i="50"/>
  <c r="R59" i="50"/>
  <c r="J59" i="50"/>
  <c r="X3" i="51"/>
  <c r="G39" i="51" s="1"/>
  <c r="C59" i="51"/>
  <c r="C58" i="51"/>
  <c r="B56" i="51"/>
  <c r="C47" i="51"/>
  <c r="B45" i="51"/>
  <c r="C37" i="51"/>
  <c r="C36" i="51"/>
  <c r="B34" i="51"/>
  <c r="C27" i="51"/>
  <c r="C26" i="51"/>
  <c r="B24" i="51"/>
  <c r="C6" i="51"/>
  <c r="C7" i="51"/>
  <c r="AO40" i="35"/>
  <c r="H40" i="35" s="1"/>
  <c r="AA101" i="35"/>
  <c r="AA102" i="35"/>
  <c r="AA103" i="35"/>
  <c r="AA104" i="35"/>
  <c r="AA105" i="35"/>
  <c r="AA106" i="35"/>
  <c r="AA107" i="35"/>
  <c r="AA108" i="35"/>
  <c r="AA109" i="35"/>
  <c r="AA100" i="35"/>
  <c r="V100" i="35"/>
  <c r="V101" i="35"/>
  <c r="AO2" i="35"/>
  <c r="C130" i="35"/>
  <c r="T127" i="35"/>
  <c r="T126" i="35" s="1"/>
  <c r="J118" i="35"/>
  <c r="C118" i="35"/>
  <c r="J130" i="35"/>
  <c r="T124" i="35"/>
  <c r="C121" i="35"/>
  <c r="V126" i="35"/>
  <c r="W126" i="35"/>
  <c r="X126" i="35"/>
  <c r="Y126" i="35"/>
  <c r="Z126" i="35"/>
  <c r="AA126" i="35"/>
  <c r="AB126" i="35"/>
  <c r="AC126" i="35"/>
  <c r="AD126" i="35"/>
  <c r="U126" i="35"/>
  <c r="V124" i="35"/>
  <c r="W124" i="35"/>
  <c r="X124" i="35"/>
  <c r="Y124" i="35"/>
  <c r="Z124" i="35"/>
  <c r="AA124" i="35"/>
  <c r="AB124" i="35"/>
  <c r="AC124" i="35"/>
  <c r="AD124" i="35"/>
  <c r="U124" i="35"/>
  <c r="J121" i="35"/>
  <c r="K105" i="35" l="1"/>
  <c r="H9" i="51"/>
  <c r="G29" i="51"/>
  <c r="K124" i="35"/>
  <c r="D124" i="35"/>
  <c r="D105" i="35"/>
  <c r="V99" i="35" l="1"/>
  <c r="C96" i="35"/>
  <c r="AQ75" i="35"/>
  <c r="AP75" i="35"/>
  <c r="J96" i="35"/>
  <c r="J7" i="35"/>
  <c r="C7" i="35"/>
  <c r="AP6" i="35"/>
  <c r="C5" i="35" s="1"/>
  <c r="AP3" i="35"/>
  <c r="AP43" i="35"/>
  <c r="C43" i="35" s="1"/>
  <c r="M8" i="35"/>
  <c r="J8" i="35"/>
  <c r="F8" i="35"/>
  <c r="C8" i="35"/>
  <c r="F12" i="35"/>
  <c r="C12" i="35"/>
  <c r="J12" i="35"/>
  <c r="U28" i="35"/>
  <c r="U27" i="35"/>
  <c r="C72" i="35" l="1"/>
  <c r="M76" i="50"/>
  <c r="N76" i="50"/>
  <c r="O76" i="50"/>
  <c r="P76" i="50"/>
  <c r="Q76" i="50"/>
  <c r="R76" i="50"/>
  <c r="S76" i="50"/>
  <c r="T76" i="50"/>
  <c r="U76" i="50"/>
  <c r="L76" i="50"/>
  <c r="M55" i="50"/>
  <c r="N55" i="50"/>
  <c r="O55" i="50"/>
  <c r="P55" i="50"/>
  <c r="Q55" i="50"/>
  <c r="R55" i="50"/>
  <c r="S55" i="50"/>
  <c r="T55" i="50"/>
  <c r="U55" i="50"/>
  <c r="L55" i="50"/>
  <c r="H76" i="50"/>
  <c r="D76" i="50"/>
  <c r="D55" i="50"/>
  <c r="B75" i="50"/>
  <c r="B54" i="50"/>
  <c r="T65" i="50"/>
  <c r="O62" i="50"/>
  <c r="R71" i="50"/>
  <c r="T61" i="50"/>
  <c r="T71" i="50"/>
  <c r="O65" i="50"/>
  <c r="B57" i="50"/>
  <c r="AF5" i="40" l="1"/>
  <c r="AF6" i="40"/>
  <c r="AF7" i="40"/>
  <c r="AF8" i="40"/>
  <c r="AF9" i="40"/>
  <c r="AF10" i="40"/>
  <c r="AF11" i="40"/>
  <c r="AF12" i="40"/>
  <c r="AF13" i="40"/>
  <c r="AF14" i="40"/>
  <c r="AF15" i="40"/>
  <c r="AF16" i="40"/>
  <c r="AF17" i="40"/>
  <c r="AF18" i="40"/>
  <c r="AF19" i="40"/>
  <c r="AF20" i="40"/>
  <c r="AF21" i="40"/>
  <c r="AF22" i="40"/>
  <c r="AF23" i="40"/>
  <c r="AF24" i="40"/>
  <c r="AF25" i="40"/>
  <c r="AF26" i="40"/>
  <c r="AF27" i="40"/>
  <c r="AF28" i="40"/>
  <c r="AF29" i="40"/>
  <c r="AF30" i="40"/>
  <c r="AF31" i="40"/>
  <c r="AF32" i="40"/>
  <c r="AF33" i="40"/>
  <c r="AF34" i="40"/>
  <c r="AF35" i="40"/>
  <c r="AF36" i="40"/>
  <c r="AF37" i="40"/>
  <c r="AF38" i="40"/>
  <c r="AF39" i="40"/>
  <c r="AF40" i="40"/>
  <c r="AF41" i="40"/>
  <c r="AF42" i="40"/>
  <c r="AF43" i="40"/>
  <c r="AF44" i="40"/>
  <c r="AF45" i="40"/>
  <c r="AF46" i="40"/>
  <c r="AF47" i="40"/>
  <c r="AF48" i="40"/>
  <c r="AF49" i="40"/>
  <c r="AF50" i="40"/>
  <c r="AF51" i="40"/>
  <c r="AF52" i="40"/>
  <c r="AF53" i="40"/>
  <c r="AF54" i="40"/>
  <c r="AF55" i="40"/>
  <c r="AF56" i="40"/>
  <c r="AF57" i="40"/>
  <c r="AF58" i="40"/>
  <c r="AF59" i="40"/>
  <c r="AF60" i="40"/>
  <c r="AF61" i="40"/>
  <c r="AF62" i="40"/>
  <c r="AF63" i="40"/>
  <c r="AF64" i="40"/>
  <c r="AF65" i="40"/>
  <c r="AF66" i="40"/>
  <c r="AF67" i="40"/>
  <c r="AF68" i="40"/>
  <c r="AF69" i="40"/>
  <c r="AF70" i="40"/>
  <c r="AF71" i="40"/>
  <c r="AF72" i="40"/>
  <c r="AF73" i="40"/>
  <c r="AF74" i="40"/>
  <c r="AF75" i="40"/>
  <c r="Q5" i="40"/>
  <c r="Q6" i="40"/>
  <c r="Q7" i="40"/>
  <c r="Q8" i="40"/>
  <c r="Q9" i="40"/>
  <c r="Q10" i="40"/>
  <c r="Q11" i="40"/>
  <c r="Q12" i="40"/>
  <c r="Q13" i="40"/>
  <c r="Q14" i="40"/>
  <c r="Q15" i="40"/>
  <c r="Q16" i="40"/>
  <c r="Q17" i="40"/>
  <c r="Q18" i="40"/>
  <c r="Q19" i="40"/>
  <c r="Q20" i="40"/>
  <c r="Q21" i="40"/>
  <c r="Q22" i="40"/>
  <c r="Q23" i="40"/>
  <c r="Q24" i="40"/>
  <c r="Q25" i="40"/>
  <c r="Q26" i="40"/>
  <c r="Q27" i="40"/>
  <c r="Q28" i="40"/>
  <c r="Q29" i="40"/>
  <c r="Q30" i="40"/>
  <c r="Q31" i="40"/>
  <c r="Q32" i="40"/>
  <c r="Q33" i="40"/>
  <c r="Q34" i="40"/>
  <c r="Q35" i="40"/>
  <c r="Q36" i="40"/>
  <c r="Q37" i="40"/>
  <c r="Q38" i="40"/>
  <c r="Q39" i="40"/>
  <c r="Q40" i="40"/>
  <c r="Q41" i="40"/>
  <c r="Q42" i="40"/>
  <c r="Q43" i="40"/>
  <c r="Q44" i="40"/>
  <c r="Q45" i="40"/>
  <c r="Q46" i="40"/>
  <c r="Q47" i="40"/>
  <c r="Q48" i="40"/>
  <c r="Q49" i="40"/>
  <c r="Q50" i="40"/>
  <c r="Q51" i="40"/>
  <c r="Q52" i="40"/>
  <c r="Q53" i="40"/>
  <c r="Q54" i="40"/>
  <c r="Q55" i="40"/>
  <c r="Q56" i="40"/>
  <c r="Q57" i="40"/>
  <c r="Q58" i="40"/>
  <c r="Q59" i="40"/>
  <c r="Q60" i="40"/>
  <c r="Q61" i="40"/>
  <c r="Q62" i="40"/>
  <c r="Q63" i="40"/>
  <c r="Q64" i="40"/>
  <c r="Q65" i="40"/>
  <c r="Q66" i="40"/>
  <c r="Q67" i="40"/>
  <c r="Q68" i="40"/>
  <c r="Q69" i="40"/>
  <c r="Q70" i="40"/>
  <c r="Q71" i="40"/>
  <c r="Q72" i="40"/>
  <c r="Q73" i="40"/>
  <c r="Q74" i="40"/>
  <c r="Q75" i="40"/>
  <c r="AF4" i="40"/>
  <c r="Q4" i="40"/>
  <c r="P2" i="40"/>
  <c r="T2" i="40"/>
  <c r="U2" i="40"/>
  <c r="V2" i="40"/>
  <c r="W2" i="40"/>
  <c r="S2" i="40"/>
  <c r="L119" i="49"/>
  <c r="K119" i="49"/>
  <c r="J119" i="49"/>
  <c r="I119" i="49"/>
  <c r="H119" i="49"/>
  <c r="G119" i="49"/>
  <c r="F119" i="49"/>
  <c r="E119" i="49"/>
  <c r="D119" i="49"/>
  <c r="C119" i="49"/>
  <c r="L118" i="49"/>
  <c r="K118" i="49"/>
  <c r="J118" i="49"/>
  <c r="I118" i="49"/>
  <c r="H118" i="49"/>
  <c r="G118" i="49"/>
  <c r="F118" i="49"/>
  <c r="E118" i="49"/>
  <c r="D118" i="49"/>
  <c r="C118" i="49"/>
  <c r="C105" i="18"/>
  <c r="L106" i="18"/>
  <c r="K106" i="18"/>
  <c r="J106" i="18"/>
  <c r="I106" i="18"/>
  <c r="H106" i="18"/>
  <c r="G106" i="18"/>
  <c r="F106" i="18"/>
  <c r="E106" i="18"/>
  <c r="D106" i="18"/>
  <c r="C106" i="18"/>
  <c r="L105" i="18"/>
  <c r="K105" i="18"/>
  <c r="J105" i="18"/>
  <c r="I105" i="18"/>
  <c r="H105" i="18"/>
  <c r="G105" i="18"/>
  <c r="F105" i="18"/>
  <c r="E105" i="18"/>
  <c r="D105" i="18"/>
  <c r="B29" i="18"/>
  <c r="C21" i="51"/>
  <c r="C22" i="51"/>
  <c r="L70" i="50" s="1"/>
  <c r="C20" i="51"/>
  <c r="C19" i="51"/>
  <c r="C18" i="51"/>
  <c r="C17" i="51"/>
  <c r="C16" i="51"/>
  <c r="C15" i="51"/>
  <c r="C14" i="51"/>
  <c r="C13" i="51"/>
  <c r="C12" i="51"/>
  <c r="B1" i="51"/>
  <c r="W18" i="49"/>
  <c r="V18" i="49"/>
  <c r="U18" i="49"/>
  <c r="T18" i="49"/>
  <c r="S18" i="49"/>
  <c r="R18" i="49"/>
  <c r="Q18" i="49"/>
  <c r="P18" i="49"/>
  <c r="O18" i="49"/>
  <c r="N18" i="49"/>
  <c r="M18" i="49"/>
  <c r="L18" i="49"/>
  <c r="K18" i="49"/>
  <c r="J18" i="49"/>
  <c r="I18" i="49"/>
  <c r="H18" i="49"/>
  <c r="G18" i="49"/>
  <c r="F18" i="49"/>
  <c r="E18" i="49"/>
  <c r="E16" i="49"/>
  <c r="AA87" i="18"/>
  <c r="Z87" i="18"/>
  <c r="Y87" i="18"/>
  <c r="X87" i="18"/>
  <c r="W87" i="18"/>
  <c r="V87" i="18"/>
  <c r="U87" i="18"/>
  <c r="T87" i="18"/>
  <c r="S87" i="18"/>
  <c r="R87" i="18"/>
  <c r="Q87" i="18"/>
  <c r="P87" i="18"/>
  <c r="O87" i="18"/>
  <c r="N87" i="18"/>
  <c r="M87" i="18"/>
  <c r="L87" i="18"/>
  <c r="K87" i="18"/>
  <c r="J87" i="18"/>
  <c r="I87" i="18"/>
  <c r="AA86" i="18"/>
  <c r="Z86" i="18"/>
  <c r="Y86" i="18"/>
  <c r="X86" i="18"/>
  <c r="W86" i="18"/>
  <c r="V86" i="18"/>
  <c r="U86" i="18"/>
  <c r="T86" i="18"/>
  <c r="S86" i="18"/>
  <c r="R86" i="18"/>
  <c r="Q86" i="18"/>
  <c r="P86" i="18"/>
  <c r="O86" i="18"/>
  <c r="N86" i="18"/>
  <c r="M86" i="18"/>
  <c r="L86" i="18"/>
  <c r="K86" i="18"/>
  <c r="J86" i="18"/>
  <c r="I86" i="18"/>
  <c r="AA85" i="18"/>
  <c r="Z85" i="18"/>
  <c r="Y85" i="18"/>
  <c r="X85" i="18"/>
  <c r="W85" i="18"/>
  <c r="V85" i="18"/>
  <c r="U85" i="18"/>
  <c r="T85" i="18"/>
  <c r="S85" i="18"/>
  <c r="R85" i="18"/>
  <c r="Q85" i="18"/>
  <c r="P85" i="18"/>
  <c r="O85" i="18"/>
  <c r="N85" i="18"/>
  <c r="M85" i="18"/>
  <c r="L85" i="18"/>
  <c r="K85" i="18"/>
  <c r="J85" i="18"/>
  <c r="I85" i="18"/>
  <c r="AA84" i="18"/>
  <c r="Z84" i="18"/>
  <c r="Y84" i="18"/>
  <c r="X84" i="18"/>
  <c r="W84" i="18"/>
  <c r="V84" i="18"/>
  <c r="U84" i="18"/>
  <c r="T84" i="18"/>
  <c r="S84" i="18"/>
  <c r="R84" i="18"/>
  <c r="Q84" i="18"/>
  <c r="P84" i="18"/>
  <c r="O84" i="18"/>
  <c r="N84" i="18"/>
  <c r="M84" i="18"/>
  <c r="L84" i="18"/>
  <c r="K84" i="18"/>
  <c r="J84" i="18"/>
  <c r="I84" i="18"/>
  <c r="AA82" i="18"/>
  <c r="Z82" i="18"/>
  <c r="Y82" i="18"/>
  <c r="X82" i="18"/>
  <c r="W82" i="18"/>
  <c r="V82" i="18"/>
  <c r="U82" i="18"/>
  <c r="T82" i="18"/>
  <c r="S82" i="18"/>
  <c r="R82" i="18"/>
  <c r="Q82" i="18"/>
  <c r="P82" i="18"/>
  <c r="O82" i="18"/>
  <c r="N82" i="18"/>
  <c r="M82" i="18"/>
  <c r="L82" i="18"/>
  <c r="K82" i="18"/>
  <c r="J82" i="18"/>
  <c r="I82" i="18"/>
  <c r="AA81" i="18"/>
  <c r="Z81" i="18"/>
  <c r="Y81" i="18"/>
  <c r="X81" i="18"/>
  <c r="W81" i="18"/>
  <c r="V81" i="18"/>
  <c r="U81" i="18"/>
  <c r="T81" i="18"/>
  <c r="S81" i="18"/>
  <c r="R81" i="18"/>
  <c r="Q81" i="18"/>
  <c r="P81" i="18"/>
  <c r="O81" i="18"/>
  <c r="N81" i="18"/>
  <c r="M81" i="18"/>
  <c r="L81" i="18"/>
  <c r="K81" i="18"/>
  <c r="J81" i="18"/>
  <c r="I81" i="18"/>
  <c r="AA80" i="18"/>
  <c r="Z80" i="18"/>
  <c r="Y80" i="18"/>
  <c r="X80" i="18"/>
  <c r="W80" i="18"/>
  <c r="V80" i="18"/>
  <c r="U80" i="18"/>
  <c r="T80" i="18"/>
  <c r="S80" i="18"/>
  <c r="R80" i="18"/>
  <c r="Q80" i="18"/>
  <c r="P80" i="18"/>
  <c r="O80" i="18"/>
  <c r="N80" i="18"/>
  <c r="M80" i="18"/>
  <c r="L80" i="18"/>
  <c r="K80" i="18"/>
  <c r="J80" i="18"/>
  <c r="I80" i="18"/>
  <c r="AA79" i="18"/>
  <c r="Z79" i="18"/>
  <c r="Y79" i="18"/>
  <c r="X79" i="18"/>
  <c r="W79" i="18"/>
  <c r="V79" i="18"/>
  <c r="U79" i="18"/>
  <c r="T79" i="18"/>
  <c r="S79" i="18"/>
  <c r="R79" i="18"/>
  <c r="Q79" i="18"/>
  <c r="P79" i="18"/>
  <c r="O79" i="18"/>
  <c r="N79" i="18"/>
  <c r="M79" i="18"/>
  <c r="L79" i="18"/>
  <c r="K79" i="18"/>
  <c r="J79" i="18"/>
  <c r="I79" i="18"/>
  <c r="AA77" i="18"/>
  <c r="Z77" i="18"/>
  <c r="Y77" i="18"/>
  <c r="X77" i="18"/>
  <c r="W77" i="18"/>
  <c r="V77" i="18"/>
  <c r="U77" i="18"/>
  <c r="T77" i="18"/>
  <c r="S77" i="18"/>
  <c r="R77" i="18"/>
  <c r="Q77" i="18"/>
  <c r="P77" i="18"/>
  <c r="O77" i="18"/>
  <c r="N77" i="18"/>
  <c r="M77" i="18"/>
  <c r="L77" i="18"/>
  <c r="K77" i="18"/>
  <c r="J77" i="18"/>
  <c r="I77" i="18"/>
  <c r="AA76" i="18"/>
  <c r="Z76" i="18"/>
  <c r="Y76" i="18"/>
  <c r="X76" i="18"/>
  <c r="W76" i="18"/>
  <c r="V76" i="18"/>
  <c r="U76" i="18"/>
  <c r="T76" i="18"/>
  <c r="S76" i="18"/>
  <c r="R76" i="18"/>
  <c r="Q76" i="18"/>
  <c r="P76" i="18"/>
  <c r="O76" i="18"/>
  <c r="N76" i="18"/>
  <c r="M76" i="18"/>
  <c r="L76" i="18"/>
  <c r="K76" i="18"/>
  <c r="J76" i="18"/>
  <c r="I76" i="18"/>
  <c r="AA75" i="18"/>
  <c r="Z75" i="18"/>
  <c r="Y75" i="18"/>
  <c r="X75" i="18"/>
  <c r="W75" i="18"/>
  <c r="V75" i="18"/>
  <c r="U75" i="18"/>
  <c r="T75" i="18"/>
  <c r="S75" i="18"/>
  <c r="R75" i="18"/>
  <c r="Q75" i="18"/>
  <c r="P75" i="18"/>
  <c r="O75" i="18"/>
  <c r="N75" i="18"/>
  <c r="M75" i="18"/>
  <c r="L75" i="18"/>
  <c r="K75" i="18"/>
  <c r="J75" i="18"/>
  <c r="I75" i="18"/>
  <c r="AA74" i="18"/>
  <c r="Z74" i="18"/>
  <c r="Y74" i="18"/>
  <c r="X74" i="18"/>
  <c r="W74" i="18"/>
  <c r="V74" i="18"/>
  <c r="U74" i="18"/>
  <c r="T74" i="18"/>
  <c r="S74" i="18"/>
  <c r="R74" i="18"/>
  <c r="Q74" i="18"/>
  <c r="P74" i="18"/>
  <c r="O74" i="18"/>
  <c r="N74" i="18"/>
  <c r="M74" i="18"/>
  <c r="L74" i="18"/>
  <c r="K74" i="18"/>
  <c r="J74" i="18"/>
  <c r="I74" i="18"/>
  <c r="AA69" i="18"/>
  <c r="Z69" i="18"/>
  <c r="Y69" i="18"/>
  <c r="X69" i="18"/>
  <c r="W69" i="18"/>
  <c r="V69" i="18"/>
  <c r="U69" i="18"/>
  <c r="T69" i="18"/>
  <c r="S69" i="18"/>
  <c r="R69" i="18"/>
  <c r="Q69" i="18"/>
  <c r="P69" i="18"/>
  <c r="O69" i="18"/>
  <c r="N69" i="18"/>
  <c r="M69" i="18"/>
  <c r="L69" i="18"/>
  <c r="K69" i="18"/>
  <c r="J69" i="18"/>
  <c r="I69" i="18"/>
  <c r="AA68" i="18"/>
  <c r="Z68" i="18"/>
  <c r="Y68" i="18"/>
  <c r="X68" i="18"/>
  <c r="W68" i="18"/>
  <c r="V68" i="18"/>
  <c r="U68" i="18"/>
  <c r="T68" i="18"/>
  <c r="S68" i="18"/>
  <c r="R68" i="18"/>
  <c r="Q68" i="18"/>
  <c r="P68" i="18"/>
  <c r="O68" i="18"/>
  <c r="N68" i="18"/>
  <c r="M68" i="18"/>
  <c r="L68" i="18"/>
  <c r="K68" i="18"/>
  <c r="J68" i="18"/>
  <c r="I68" i="18"/>
  <c r="AA67" i="18"/>
  <c r="Z67" i="18"/>
  <c r="Y67" i="18"/>
  <c r="X67" i="18"/>
  <c r="W67" i="18"/>
  <c r="V67" i="18"/>
  <c r="U67" i="18"/>
  <c r="T67" i="18"/>
  <c r="S67" i="18"/>
  <c r="R67" i="18"/>
  <c r="Q67" i="18"/>
  <c r="P67" i="18"/>
  <c r="O67" i="18"/>
  <c r="N67" i="18"/>
  <c r="M67" i="18"/>
  <c r="L67" i="18"/>
  <c r="K67" i="18"/>
  <c r="J67" i="18"/>
  <c r="I67" i="18"/>
  <c r="AA66" i="18"/>
  <c r="Z66" i="18"/>
  <c r="Y66" i="18"/>
  <c r="X66" i="18"/>
  <c r="W66" i="18"/>
  <c r="V66" i="18"/>
  <c r="U66" i="18"/>
  <c r="T66" i="18"/>
  <c r="S66" i="18"/>
  <c r="R66" i="18"/>
  <c r="Q66" i="18"/>
  <c r="P66" i="18"/>
  <c r="O66" i="18"/>
  <c r="N66" i="18"/>
  <c r="M66" i="18"/>
  <c r="L66" i="18"/>
  <c r="K66" i="18"/>
  <c r="J66" i="18"/>
  <c r="I66" i="18"/>
  <c r="AA64" i="18"/>
  <c r="Z64" i="18"/>
  <c r="Y64" i="18"/>
  <c r="X64" i="18"/>
  <c r="W64" i="18"/>
  <c r="V64" i="18"/>
  <c r="U64" i="18"/>
  <c r="T64" i="18"/>
  <c r="S64" i="18"/>
  <c r="R64" i="18"/>
  <c r="Q64" i="18"/>
  <c r="P64" i="18"/>
  <c r="O64" i="18"/>
  <c r="N64" i="18"/>
  <c r="M64" i="18"/>
  <c r="L64" i="18"/>
  <c r="K64" i="18"/>
  <c r="J64" i="18"/>
  <c r="I64" i="18"/>
  <c r="AA63" i="18"/>
  <c r="Z63" i="18"/>
  <c r="Y63" i="18"/>
  <c r="X63" i="18"/>
  <c r="W63" i="18"/>
  <c r="V63" i="18"/>
  <c r="U63" i="18"/>
  <c r="T63" i="18"/>
  <c r="S63" i="18"/>
  <c r="R63" i="18"/>
  <c r="Q63" i="18"/>
  <c r="P63" i="18"/>
  <c r="O63" i="18"/>
  <c r="N63" i="18"/>
  <c r="M63" i="18"/>
  <c r="L63" i="18"/>
  <c r="K63" i="18"/>
  <c r="J63" i="18"/>
  <c r="I63" i="18"/>
  <c r="AA62" i="18"/>
  <c r="Z62" i="18"/>
  <c r="Y62" i="18"/>
  <c r="X62" i="18"/>
  <c r="W62" i="18"/>
  <c r="V62" i="18"/>
  <c r="U62" i="18"/>
  <c r="T62" i="18"/>
  <c r="S62" i="18"/>
  <c r="R62" i="18"/>
  <c r="Q62" i="18"/>
  <c r="P62" i="18"/>
  <c r="O62" i="18"/>
  <c r="N62" i="18"/>
  <c r="M62" i="18"/>
  <c r="L62" i="18"/>
  <c r="K62" i="18"/>
  <c r="J62" i="18"/>
  <c r="I62" i="18"/>
  <c r="AA61" i="18"/>
  <c r="Z61" i="18"/>
  <c r="Y61" i="18"/>
  <c r="X61" i="18"/>
  <c r="W61" i="18"/>
  <c r="V61" i="18"/>
  <c r="U61" i="18"/>
  <c r="T61" i="18"/>
  <c r="S61" i="18"/>
  <c r="R61" i="18"/>
  <c r="Q61" i="18"/>
  <c r="P61" i="18"/>
  <c r="O61" i="18"/>
  <c r="N61" i="18"/>
  <c r="M61" i="18"/>
  <c r="L61" i="18"/>
  <c r="K61" i="18"/>
  <c r="J61" i="18"/>
  <c r="I61" i="18"/>
  <c r="AA59" i="18"/>
  <c r="Z59" i="18"/>
  <c r="Y59" i="18"/>
  <c r="X59" i="18"/>
  <c r="W59" i="18"/>
  <c r="V59" i="18"/>
  <c r="U59" i="18"/>
  <c r="T59" i="18"/>
  <c r="S59" i="18"/>
  <c r="R59" i="18"/>
  <c r="Q59" i="18"/>
  <c r="P59" i="18"/>
  <c r="O59" i="18"/>
  <c r="N59" i="18"/>
  <c r="M59" i="18"/>
  <c r="L59" i="18"/>
  <c r="K59" i="18"/>
  <c r="J59" i="18"/>
  <c r="I59" i="18"/>
  <c r="AA58" i="18"/>
  <c r="Z58" i="18"/>
  <c r="Y58" i="18"/>
  <c r="X58" i="18"/>
  <c r="W58" i="18"/>
  <c r="V58" i="18"/>
  <c r="U58" i="18"/>
  <c r="T58" i="18"/>
  <c r="S58" i="18"/>
  <c r="R58" i="18"/>
  <c r="Q58" i="18"/>
  <c r="P58" i="18"/>
  <c r="O58" i="18"/>
  <c r="N58" i="18"/>
  <c r="M58" i="18"/>
  <c r="L58" i="18"/>
  <c r="K58" i="18"/>
  <c r="J58" i="18"/>
  <c r="I58" i="18"/>
  <c r="AA57" i="18"/>
  <c r="Z57" i="18"/>
  <c r="Y57" i="18"/>
  <c r="X57" i="18"/>
  <c r="W57" i="18"/>
  <c r="V57" i="18"/>
  <c r="U57" i="18"/>
  <c r="T57" i="18"/>
  <c r="S57" i="18"/>
  <c r="R57" i="18"/>
  <c r="Q57" i="18"/>
  <c r="P57" i="18"/>
  <c r="O57" i="18"/>
  <c r="N57" i="18"/>
  <c r="M57" i="18"/>
  <c r="L57" i="18"/>
  <c r="K57" i="18"/>
  <c r="J57" i="18"/>
  <c r="I57" i="18"/>
  <c r="AA56" i="18"/>
  <c r="Z56" i="18"/>
  <c r="Y56" i="18"/>
  <c r="X56" i="18"/>
  <c r="W56" i="18"/>
  <c r="V56" i="18"/>
  <c r="U56" i="18"/>
  <c r="T56" i="18"/>
  <c r="S56" i="18"/>
  <c r="R56" i="18"/>
  <c r="Q56" i="18"/>
  <c r="P56" i="18"/>
  <c r="O56" i="18"/>
  <c r="N56" i="18"/>
  <c r="M56" i="18"/>
  <c r="L56" i="18"/>
  <c r="K56" i="18"/>
  <c r="J56" i="18"/>
  <c r="I56" i="18"/>
  <c r="AA51" i="18"/>
  <c r="Z51" i="18"/>
  <c r="Y51" i="18"/>
  <c r="X51" i="18"/>
  <c r="W51" i="18"/>
  <c r="V51" i="18"/>
  <c r="U51" i="18"/>
  <c r="T51" i="18"/>
  <c r="S51" i="18"/>
  <c r="R51" i="18"/>
  <c r="Q51" i="18"/>
  <c r="P51" i="18"/>
  <c r="O51" i="18"/>
  <c r="N51" i="18"/>
  <c r="M51" i="18"/>
  <c r="L51" i="18"/>
  <c r="K51" i="18"/>
  <c r="J51" i="18"/>
  <c r="I51" i="18"/>
  <c r="AA50" i="18"/>
  <c r="Z50" i="18"/>
  <c r="Y50" i="18"/>
  <c r="X50" i="18"/>
  <c r="W50" i="18"/>
  <c r="V50" i="18"/>
  <c r="U50" i="18"/>
  <c r="T50" i="18"/>
  <c r="S50" i="18"/>
  <c r="R50" i="18"/>
  <c r="Q50" i="18"/>
  <c r="P50" i="18"/>
  <c r="O50" i="18"/>
  <c r="N50" i="18"/>
  <c r="M50" i="18"/>
  <c r="L50" i="18"/>
  <c r="K50" i="18"/>
  <c r="J50" i="18"/>
  <c r="I50" i="18"/>
  <c r="AA49" i="18"/>
  <c r="Z49" i="18"/>
  <c r="Y49" i="18"/>
  <c r="X49" i="18"/>
  <c r="W49" i="18"/>
  <c r="V49" i="18"/>
  <c r="U49" i="18"/>
  <c r="T49" i="18"/>
  <c r="S49" i="18"/>
  <c r="R49" i="18"/>
  <c r="Q49" i="18"/>
  <c r="P49" i="18"/>
  <c r="O49" i="18"/>
  <c r="N49" i="18"/>
  <c r="M49" i="18"/>
  <c r="L49" i="18"/>
  <c r="K49" i="18"/>
  <c r="J49" i="18"/>
  <c r="I49" i="18"/>
  <c r="AA48" i="18"/>
  <c r="Z48" i="18"/>
  <c r="Y48" i="18"/>
  <c r="X48" i="18"/>
  <c r="W48" i="18"/>
  <c r="V48" i="18"/>
  <c r="U48" i="18"/>
  <c r="T48" i="18"/>
  <c r="S48" i="18"/>
  <c r="R48" i="18"/>
  <c r="Q48" i="18"/>
  <c r="P48" i="18"/>
  <c r="O48" i="18"/>
  <c r="N48" i="18"/>
  <c r="M48" i="18"/>
  <c r="L48" i="18"/>
  <c r="K48" i="18"/>
  <c r="J48" i="18"/>
  <c r="I48" i="18"/>
  <c r="AA46" i="18"/>
  <c r="Z46" i="18"/>
  <c r="Y46" i="18"/>
  <c r="X46" i="18"/>
  <c r="W46" i="18"/>
  <c r="V46" i="18"/>
  <c r="U46" i="18"/>
  <c r="T46" i="18"/>
  <c r="S46" i="18"/>
  <c r="R46" i="18"/>
  <c r="Q46" i="18"/>
  <c r="P46" i="18"/>
  <c r="O46" i="18"/>
  <c r="N46" i="18"/>
  <c r="M46" i="18"/>
  <c r="L46" i="18"/>
  <c r="K46" i="18"/>
  <c r="J46" i="18"/>
  <c r="I46" i="18"/>
  <c r="AA45" i="18"/>
  <c r="Z45" i="18"/>
  <c r="Y45" i="18"/>
  <c r="X45" i="18"/>
  <c r="W45" i="18"/>
  <c r="V45" i="18"/>
  <c r="U45" i="18"/>
  <c r="T45" i="18"/>
  <c r="S45" i="18"/>
  <c r="R45" i="18"/>
  <c r="Q45" i="18"/>
  <c r="P45" i="18"/>
  <c r="O45" i="18"/>
  <c r="N45" i="18"/>
  <c r="M45" i="18"/>
  <c r="L45" i="18"/>
  <c r="K45" i="18"/>
  <c r="J45" i="18"/>
  <c r="I45" i="18"/>
  <c r="AA44" i="18"/>
  <c r="Z44" i="18"/>
  <c r="Y44" i="18"/>
  <c r="X44" i="18"/>
  <c r="W44" i="18"/>
  <c r="V44" i="18"/>
  <c r="U44" i="18"/>
  <c r="T44" i="18"/>
  <c r="S44" i="18"/>
  <c r="R44" i="18"/>
  <c r="Q44" i="18"/>
  <c r="P44" i="18"/>
  <c r="O44" i="18"/>
  <c r="N44" i="18"/>
  <c r="M44" i="18"/>
  <c r="L44" i="18"/>
  <c r="K44" i="18"/>
  <c r="J44" i="18"/>
  <c r="I44" i="18"/>
  <c r="AA43" i="18"/>
  <c r="Z43" i="18"/>
  <c r="Y43" i="18"/>
  <c r="X43" i="18"/>
  <c r="W43" i="18"/>
  <c r="V43" i="18"/>
  <c r="U43" i="18"/>
  <c r="T43" i="18"/>
  <c r="S43" i="18"/>
  <c r="R43" i="18"/>
  <c r="Q43" i="18"/>
  <c r="P43" i="18"/>
  <c r="O43" i="18"/>
  <c r="N43" i="18"/>
  <c r="M43" i="18"/>
  <c r="L43" i="18"/>
  <c r="K43" i="18"/>
  <c r="J43" i="18"/>
  <c r="I43" i="18"/>
  <c r="AA41" i="18"/>
  <c r="Z41" i="18"/>
  <c r="Y41" i="18"/>
  <c r="X41" i="18"/>
  <c r="W41" i="18"/>
  <c r="V41" i="18"/>
  <c r="U41" i="18"/>
  <c r="T41" i="18"/>
  <c r="S41" i="18"/>
  <c r="R41" i="18"/>
  <c r="Q41" i="18"/>
  <c r="P41" i="18"/>
  <c r="O41" i="18"/>
  <c r="N41" i="18"/>
  <c r="M41" i="18"/>
  <c r="L41" i="18"/>
  <c r="K41" i="18"/>
  <c r="J41" i="18"/>
  <c r="I41" i="18"/>
  <c r="AA40" i="18"/>
  <c r="Z40" i="18"/>
  <c r="Y40" i="18"/>
  <c r="X40" i="18"/>
  <c r="W40" i="18"/>
  <c r="V40" i="18"/>
  <c r="U40" i="18"/>
  <c r="T40" i="18"/>
  <c r="S40" i="18"/>
  <c r="R40" i="18"/>
  <c r="Q40" i="18"/>
  <c r="P40" i="18"/>
  <c r="O40" i="18"/>
  <c r="N40" i="18"/>
  <c r="M40" i="18"/>
  <c r="L40" i="18"/>
  <c r="K40" i="18"/>
  <c r="J40" i="18"/>
  <c r="I40" i="18"/>
  <c r="AA39" i="18"/>
  <c r="Z39" i="18"/>
  <c r="Y39" i="18"/>
  <c r="X39" i="18"/>
  <c r="W39" i="18"/>
  <c r="V39" i="18"/>
  <c r="U39" i="18"/>
  <c r="T39" i="18"/>
  <c r="S39" i="18"/>
  <c r="R39" i="18"/>
  <c r="Q39" i="18"/>
  <c r="P39" i="18"/>
  <c r="O39" i="18"/>
  <c r="N39" i="18"/>
  <c r="M39" i="18"/>
  <c r="L39" i="18"/>
  <c r="K39" i="18"/>
  <c r="J39" i="18"/>
  <c r="I39" i="18"/>
  <c r="I38" i="18"/>
  <c r="AA38" i="18"/>
  <c r="Z38" i="18"/>
  <c r="Y38" i="18"/>
  <c r="X38" i="18"/>
  <c r="W38" i="18"/>
  <c r="V38" i="18"/>
  <c r="U38" i="18"/>
  <c r="T38" i="18"/>
  <c r="S38" i="18"/>
  <c r="R38" i="18"/>
  <c r="Q38" i="18"/>
  <c r="P38" i="18"/>
  <c r="O38" i="18"/>
  <c r="N38" i="18"/>
  <c r="M38" i="18"/>
  <c r="L38" i="18"/>
  <c r="K38" i="18"/>
  <c r="J38" i="18"/>
  <c r="AA103" i="18"/>
  <c r="Z103" i="18"/>
  <c r="Y103" i="18"/>
  <c r="X103" i="18"/>
  <c r="W103" i="18"/>
  <c r="V103" i="18"/>
  <c r="U103" i="18"/>
  <c r="T103" i="18"/>
  <c r="S103" i="18"/>
  <c r="R103" i="18"/>
  <c r="Q103" i="18"/>
  <c r="P103" i="18"/>
  <c r="O103" i="18"/>
  <c r="N103" i="18"/>
  <c r="M103" i="18"/>
  <c r="L103" i="18"/>
  <c r="K103" i="18"/>
  <c r="J103" i="18"/>
  <c r="I103" i="18"/>
  <c r="AA102" i="18"/>
  <c r="Z102" i="18"/>
  <c r="Y102" i="18"/>
  <c r="X102" i="18"/>
  <c r="W102" i="18"/>
  <c r="V102" i="18"/>
  <c r="U102" i="18"/>
  <c r="T102" i="18"/>
  <c r="S102" i="18"/>
  <c r="R102" i="18"/>
  <c r="Q102" i="18"/>
  <c r="P102" i="18"/>
  <c r="O102" i="18"/>
  <c r="N102" i="18"/>
  <c r="M102" i="18"/>
  <c r="L102" i="18"/>
  <c r="K102" i="18"/>
  <c r="J102" i="18"/>
  <c r="I102" i="18"/>
  <c r="AA101" i="18"/>
  <c r="Z101" i="18"/>
  <c r="Y101" i="18"/>
  <c r="X101" i="18"/>
  <c r="W101" i="18"/>
  <c r="V101" i="18"/>
  <c r="U101" i="18"/>
  <c r="T101" i="18"/>
  <c r="S101" i="18"/>
  <c r="R101" i="18"/>
  <c r="Q101" i="18"/>
  <c r="P101" i="18"/>
  <c r="O101" i="18"/>
  <c r="N101" i="18"/>
  <c r="M101" i="18"/>
  <c r="L101" i="18"/>
  <c r="K101" i="18"/>
  <c r="J101" i="18"/>
  <c r="I101" i="18"/>
  <c r="AA99" i="18"/>
  <c r="Z99" i="18"/>
  <c r="Y99" i="18"/>
  <c r="X99" i="18"/>
  <c r="W99" i="18"/>
  <c r="V99" i="18"/>
  <c r="U99" i="18"/>
  <c r="T99" i="18"/>
  <c r="S99" i="18"/>
  <c r="R99" i="18"/>
  <c r="Q99" i="18"/>
  <c r="P99" i="18"/>
  <c r="O99" i="18"/>
  <c r="N99" i="18"/>
  <c r="M99" i="18"/>
  <c r="L99" i="18"/>
  <c r="K99" i="18"/>
  <c r="J99" i="18"/>
  <c r="I99" i="18"/>
  <c r="AA98" i="18"/>
  <c r="Z98" i="18"/>
  <c r="Y98" i="18"/>
  <c r="X98" i="18"/>
  <c r="W98" i="18"/>
  <c r="V98" i="18"/>
  <c r="U98" i="18"/>
  <c r="T98" i="18"/>
  <c r="S98" i="18"/>
  <c r="R98" i="18"/>
  <c r="Q98" i="18"/>
  <c r="P98" i="18"/>
  <c r="O98" i="18"/>
  <c r="N98" i="18"/>
  <c r="M98" i="18"/>
  <c r="L98" i="18"/>
  <c r="K98" i="18"/>
  <c r="J98" i="18"/>
  <c r="I98" i="18"/>
  <c r="AA97" i="18"/>
  <c r="Z97" i="18"/>
  <c r="Y97" i="18"/>
  <c r="X97" i="18"/>
  <c r="W97" i="18"/>
  <c r="V97" i="18"/>
  <c r="U97" i="18"/>
  <c r="T97" i="18"/>
  <c r="S97" i="18"/>
  <c r="R97" i="18"/>
  <c r="Q97" i="18"/>
  <c r="P97" i="18"/>
  <c r="O97" i="18"/>
  <c r="N97" i="18"/>
  <c r="M97" i="18"/>
  <c r="L97" i="18"/>
  <c r="K97" i="18"/>
  <c r="J97" i="18"/>
  <c r="I97" i="18"/>
  <c r="J93" i="18"/>
  <c r="K93" i="18"/>
  <c r="L93" i="18"/>
  <c r="M93" i="18"/>
  <c r="N93" i="18"/>
  <c r="O93" i="18"/>
  <c r="P93" i="18"/>
  <c r="Q93" i="18"/>
  <c r="R93" i="18"/>
  <c r="S93" i="18"/>
  <c r="T93" i="18"/>
  <c r="U93" i="18"/>
  <c r="V93" i="18"/>
  <c r="W93" i="18"/>
  <c r="X93" i="18"/>
  <c r="Y93" i="18"/>
  <c r="Z93" i="18"/>
  <c r="AA93" i="18"/>
  <c r="J94" i="18"/>
  <c r="K94" i="18"/>
  <c r="L94" i="18"/>
  <c r="M94" i="18"/>
  <c r="N94" i="18"/>
  <c r="O94" i="18"/>
  <c r="P94" i="18"/>
  <c r="Q94" i="18"/>
  <c r="R94" i="18"/>
  <c r="S94" i="18"/>
  <c r="T94" i="18"/>
  <c r="U94" i="18"/>
  <c r="V94" i="18"/>
  <c r="W94" i="18"/>
  <c r="X94" i="18"/>
  <c r="Y94" i="18"/>
  <c r="Z94" i="18"/>
  <c r="AA94" i="18"/>
  <c r="J95" i="18"/>
  <c r="K95" i="18"/>
  <c r="L95" i="18"/>
  <c r="M95" i="18"/>
  <c r="N95" i="18"/>
  <c r="O95" i="18"/>
  <c r="P95" i="18"/>
  <c r="Q95" i="18"/>
  <c r="R95" i="18"/>
  <c r="S95" i="18"/>
  <c r="T95" i="18"/>
  <c r="U95" i="18"/>
  <c r="V95" i="18"/>
  <c r="W95" i="18"/>
  <c r="X95" i="18"/>
  <c r="Y95" i="18"/>
  <c r="Z95" i="18"/>
  <c r="AA95" i="18"/>
  <c r="I94" i="18"/>
  <c r="I95" i="18"/>
  <c r="I93" i="18"/>
  <c r="B4" i="53"/>
  <c r="AC9" i="53"/>
  <c r="B37" i="53"/>
  <c r="B36" i="53"/>
  <c r="B35" i="53"/>
  <c r="AF34" i="53"/>
  <c r="AC34" i="53"/>
  <c r="AF33" i="53"/>
  <c r="AC33" i="53"/>
  <c r="B33" i="53"/>
  <c r="B32" i="53"/>
  <c r="B24" i="53"/>
  <c r="B23" i="53"/>
  <c r="B22" i="53"/>
  <c r="AF21" i="53"/>
  <c r="AC21" i="53"/>
  <c r="AF20" i="53"/>
  <c r="AC20" i="53"/>
  <c r="B20" i="53"/>
  <c r="B19" i="53"/>
  <c r="B11" i="53"/>
  <c r="B10" i="53"/>
  <c r="B9" i="53"/>
  <c r="AI8" i="53"/>
  <c r="AC8" i="53"/>
  <c r="AI7" i="53"/>
  <c r="AC7" i="53"/>
  <c r="B7" i="53"/>
  <c r="B6" i="53"/>
  <c r="B3" i="53"/>
  <c r="B2" i="53"/>
  <c r="D7" i="49"/>
  <c r="Z9" i="50"/>
  <c r="V7" i="50" s="1"/>
  <c r="N70" i="50" l="1"/>
  <c r="Z100" i="35"/>
  <c r="L61" i="50"/>
  <c r="N61" i="50" s="1"/>
  <c r="Z101" i="35"/>
  <c r="L62" i="50"/>
  <c r="N62" i="50" s="1"/>
  <c r="Z102" i="35"/>
  <c r="L63" i="50"/>
  <c r="N63" i="50" s="1"/>
  <c r="Z103" i="35"/>
  <c r="L64" i="50"/>
  <c r="N64" i="50" s="1"/>
  <c r="Z104" i="35"/>
  <c r="L65" i="50"/>
  <c r="N65" i="50" s="1"/>
  <c r="Z105" i="35"/>
  <c r="L66" i="50"/>
  <c r="N66" i="50" s="1"/>
  <c r="Z106" i="35"/>
  <c r="L67" i="50"/>
  <c r="N67" i="50" s="1"/>
  <c r="Z107" i="35"/>
  <c r="L68" i="50"/>
  <c r="N68" i="50" s="1"/>
  <c r="Z109" i="35"/>
  <c r="Z108" i="35"/>
  <c r="L69" i="50"/>
  <c r="N69" i="50" s="1"/>
  <c r="W4" i="53"/>
  <c r="AF91" i="18"/>
  <c r="H65" i="42" l="1"/>
  <c r="I65" i="42"/>
  <c r="J65" i="42"/>
  <c r="K65" i="42"/>
  <c r="L65" i="42"/>
  <c r="M65" i="42"/>
  <c r="N65" i="42"/>
  <c r="O65" i="42"/>
  <c r="P65" i="42"/>
  <c r="Q65" i="42"/>
  <c r="R65" i="42"/>
  <c r="S65" i="42"/>
  <c r="T65" i="42"/>
  <c r="U65" i="42"/>
  <c r="V65" i="42"/>
  <c r="W65" i="42"/>
  <c r="X65" i="42"/>
  <c r="Y65" i="42"/>
  <c r="G65" i="42"/>
  <c r="B43" i="50"/>
  <c r="B42" i="50"/>
  <c r="D17" i="18"/>
  <c r="D5" i="49"/>
  <c r="B7" i="50"/>
  <c r="A40" i="42"/>
  <c r="A37" i="42"/>
  <c r="A39" i="42"/>
  <c r="A36" i="42"/>
  <c r="A38" i="42"/>
  <c r="A35" i="42"/>
  <c r="A25" i="42"/>
  <c r="A24" i="42"/>
  <c r="A23" i="42"/>
  <c r="A22" i="42"/>
  <c r="A18" i="42"/>
  <c r="A17" i="42"/>
  <c r="A16" i="42"/>
  <c r="A15" i="42"/>
  <c r="A9" i="42"/>
  <c r="A10" i="42"/>
  <c r="A11" i="42"/>
  <c r="A8" i="42"/>
  <c r="E9" i="19" s="1"/>
  <c r="C39" i="50"/>
  <c r="C37" i="50"/>
  <c r="C35" i="50"/>
  <c r="C32" i="50"/>
  <c r="C28" i="50"/>
  <c r="C26" i="50"/>
  <c r="C24" i="50"/>
  <c r="C21" i="50"/>
  <c r="C17" i="50"/>
  <c r="C15" i="50"/>
  <c r="C13" i="50"/>
  <c r="C10" i="50"/>
  <c r="B51" i="50"/>
  <c r="B49" i="50"/>
  <c r="B47" i="50"/>
  <c r="B45" i="50"/>
  <c r="B59" i="50"/>
  <c r="C65" i="50"/>
  <c r="K65" i="50" s="1"/>
  <c r="C61" i="50"/>
  <c r="K61" i="50" s="1"/>
  <c r="B6" i="50"/>
  <c r="B5" i="50"/>
  <c r="D4" i="50"/>
  <c r="B4" i="50"/>
  <c r="B3" i="50"/>
  <c r="B2" i="50"/>
  <c r="H103" i="18"/>
  <c r="D103" i="18"/>
  <c r="H102" i="18"/>
  <c r="D102" i="18"/>
  <c r="H101" i="18"/>
  <c r="D101" i="18"/>
  <c r="C101" i="18"/>
  <c r="H99" i="18"/>
  <c r="D99" i="18"/>
  <c r="H98" i="18"/>
  <c r="D98" i="18"/>
  <c r="H97" i="18"/>
  <c r="D97" i="18"/>
  <c r="C97" i="18"/>
  <c r="C93" i="18"/>
  <c r="H95" i="18"/>
  <c r="D95" i="18"/>
  <c r="H94" i="18"/>
  <c r="D94" i="18"/>
  <c r="H93" i="18"/>
  <c r="D93" i="18"/>
  <c r="B90" i="18"/>
  <c r="H87" i="18" l="1"/>
  <c r="D87" i="18"/>
  <c r="H86" i="18"/>
  <c r="D86" i="18"/>
  <c r="H85" i="18"/>
  <c r="D85" i="18"/>
  <c r="H84" i="18"/>
  <c r="D84" i="18"/>
  <c r="C84" i="18"/>
  <c r="H82" i="18"/>
  <c r="D82" i="18"/>
  <c r="H81" i="18"/>
  <c r="D81" i="18"/>
  <c r="H80" i="18"/>
  <c r="D80" i="18"/>
  <c r="H79" i="18"/>
  <c r="D79" i="18"/>
  <c r="C79" i="18"/>
  <c r="H77" i="18"/>
  <c r="D77" i="18"/>
  <c r="H76" i="18"/>
  <c r="D76" i="18"/>
  <c r="H75" i="18"/>
  <c r="D75" i="18"/>
  <c r="H74" i="18"/>
  <c r="D74" i="18"/>
  <c r="C74" i="18"/>
  <c r="H69" i="18"/>
  <c r="D69" i="18"/>
  <c r="H68" i="18"/>
  <c r="D68" i="18"/>
  <c r="H67" i="18"/>
  <c r="D67" i="18"/>
  <c r="H66" i="18"/>
  <c r="D66" i="18"/>
  <c r="H64" i="18"/>
  <c r="D64" i="18"/>
  <c r="H63" i="18"/>
  <c r="D63" i="18"/>
  <c r="H62" i="18"/>
  <c r="D62" i="18"/>
  <c r="H61" i="18"/>
  <c r="D61" i="18"/>
  <c r="H59" i="18"/>
  <c r="D59" i="18"/>
  <c r="H58" i="18"/>
  <c r="D58" i="18"/>
  <c r="H57" i="18"/>
  <c r="D57" i="18"/>
  <c r="H56" i="18"/>
  <c r="D56" i="18"/>
  <c r="C66" i="18"/>
  <c r="C61" i="18"/>
  <c r="C56" i="18"/>
  <c r="C31" i="18"/>
  <c r="C30" i="18"/>
  <c r="H51" i="18"/>
  <c r="H50" i="18"/>
  <c r="H49" i="18"/>
  <c r="H48" i="18"/>
  <c r="H46" i="18"/>
  <c r="H45" i="18"/>
  <c r="H44" i="18"/>
  <c r="H43" i="18"/>
  <c r="H39" i="18"/>
  <c r="H40" i="18"/>
  <c r="H41" i="18"/>
  <c r="H38" i="18"/>
  <c r="D51" i="18"/>
  <c r="D50" i="18"/>
  <c r="D49" i="18"/>
  <c r="D48" i="18"/>
  <c r="C48" i="18"/>
  <c r="D46" i="18"/>
  <c r="D45" i="18"/>
  <c r="D44" i="18"/>
  <c r="D43" i="18"/>
  <c r="C43" i="18"/>
  <c r="C38" i="18"/>
  <c r="D41" i="18"/>
  <c r="D40" i="18"/>
  <c r="D39" i="18"/>
  <c r="D38" i="18"/>
  <c r="E40" i="42"/>
  <c r="E37" i="42"/>
  <c r="E39" i="42"/>
  <c r="E36" i="42"/>
  <c r="E38" i="42"/>
  <c r="E35" i="42"/>
  <c r="E31" i="42"/>
  <c r="E30" i="42"/>
  <c r="E29" i="42"/>
  <c r="E18" i="42"/>
  <c r="E17" i="42"/>
  <c r="E16" i="42"/>
  <c r="E15" i="42"/>
  <c r="D24" i="49"/>
  <c r="F16" i="49"/>
  <c r="G16" i="49"/>
  <c r="H16" i="49"/>
  <c r="I16" i="49"/>
  <c r="J16" i="49"/>
  <c r="K16" i="49"/>
  <c r="L16" i="49"/>
  <c r="M16" i="49"/>
  <c r="N16" i="49"/>
  <c r="O16" i="49"/>
  <c r="P16" i="49"/>
  <c r="Q16" i="49"/>
  <c r="R16" i="49"/>
  <c r="S16" i="49"/>
  <c r="T16" i="49"/>
  <c r="U16" i="49"/>
  <c r="V16" i="49"/>
  <c r="W16" i="49"/>
  <c r="U29" i="42"/>
  <c r="C21" i="38"/>
  <c r="D19" i="49"/>
  <c r="D20" i="49"/>
  <c r="D16" i="49"/>
  <c r="F115" i="49"/>
  <c r="C115" i="49"/>
  <c r="F114" i="49"/>
  <c r="C114" i="49"/>
  <c r="C113" i="49"/>
  <c r="F112" i="49"/>
  <c r="C112" i="49"/>
  <c r="F111" i="49"/>
  <c r="C111" i="49"/>
  <c r="F110" i="49"/>
  <c r="C110" i="49"/>
  <c r="F109" i="49"/>
  <c r="C109" i="49"/>
  <c r="F108" i="49"/>
  <c r="C108" i="49"/>
  <c r="C107" i="49"/>
  <c r="B105" i="49"/>
  <c r="D100" i="49"/>
  <c r="C35" i="30" s="1"/>
  <c r="D99" i="49"/>
  <c r="C34" i="30" s="1"/>
  <c r="D98" i="49"/>
  <c r="C33" i="30" s="1"/>
  <c r="D97" i="49"/>
  <c r="C32" i="30" s="1"/>
  <c r="D96" i="49"/>
  <c r="C31" i="30" s="1"/>
  <c r="D95" i="49"/>
  <c r="C30" i="30" s="1"/>
  <c r="D94" i="49"/>
  <c r="C29" i="30" s="1"/>
  <c r="D93" i="49"/>
  <c r="C28" i="30" s="1"/>
  <c r="C90" i="49"/>
  <c r="C89" i="49"/>
  <c r="C88" i="49"/>
  <c r="D87" i="49"/>
  <c r="C86" i="49"/>
  <c r="C85" i="49"/>
  <c r="C84" i="49"/>
  <c r="B83" i="49"/>
  <c r="B82" i="49"/>
  <c r="E78" i="49"/>
  <c r="D78" i="49"/>
  <c r="F76" i="49"/>
  <c r="D76" i="49"/>
  <c r="E75" i="49"/>
  <c r="D75" i="49"/>
  <c r="E74" i="49"/>
  <c r="D74" i="49"/>
  <c r="E73" i="49"/>
  <c r="D73" i="49"/>
  <c r="E72" i="49"/>
  <c r="D72" i="49"/>
  <c r="E71" i="49"/>
  <c r="D71" i="49"/>
  <c r="E70" i="49"/>
  <c r="D70" i="49"/>
  <c r="E69" i="49"/>
  <c r="D69" i="49"/>
  <c r="E68" i="49"/>
  <c r="D68" i="49"/>
  <c r="E67" i="49"/>
  <c r="D67" i="49"/>
  <c r="E66" i="49"/>
  <c r="D66" i="49"/>
  <c r="E65" i="49"/>
  <c r="D65" i="49"/>
  <c r="E64" i="49"/>
  <c r="D64" i="49"/>
  <c r="E62" i="49"/>
  <c r="D62" i="49"/>
  <c r="G61" i="49"/>
  <c r="E61" i="49"/>
  <c r="D61" i="49"/>
  <c r="B59" i="49"/>
  <c r="B58" i="49"/>
  <c r="B57" i="49"/>
  <c r="D55" i="49"/>
  <c r="D53" i="49"/>
  <c r="D51" i="49"/>
  <c r="E50" i="49"/>
  <c r="E112" i="49" s="1"/>
  <c r="D9" i="30" s="1"/>
  <c r="D50" i="49"/>
  <c r="B48" i="49"/>
  <c r="B47" i="49"/>
  <c r="B46" i="49"/>
  <c r="D42" i="49"/>
  <c r="D41" i="49"/>
  <c r="D40" i="49"/>
  <c r="B38" i="49"/>
  <c r="B37" i="49"/>
  <c r="B36" i="49"/>
  <c r="C35" i="49"/>
  <c r="D33" i="49"/>
  <c r="W31" i="49"/>
  <c r="V22" i="30" s="1"/>
  <c r="V31" i="49"/>
  <c r="U22" i="30" s="1"/>
  <c r="U31" i="49"/>
  <c r="T22" i="30" s="1"/>
  <c r="T31" i="49"/>
  <c r="S22" i="30" s="1"/>
  <c r="S31" i="49"/>
  <c r="R22" i="30" s="1"/>
  <c r="R31" i="49"/>
  <c r="Q22" i="30" s="1"/>
  <c r="Q31" i="49"/>
  <c r="P22" i="30" s="1"/>
  <c r="P31" i="49"/>
  <c r="O22" i="30" s="1"/>
  <c r="O31" i="49"/>
  <c r="N22" i="30" s="1"/>
  <c r="N31" i="49"/>
  <c r="M22" i="30" s="1"/>
  <c r="M31" i="49"/>
  <c r="L22" i="30" s="1"/>
  <c r="L31" i="49"/>
  <c r="K22" i="30" s="1"/>
  <c r="K31" i="49"/>
  <c r="J22" i="30" s="1"/>
  <c r="J31" i="49"/>
  <c r="I22" i="30" s="1"/>
  <c r="I31" i="49"/>
  <c r="H22" i="30" s="1"/>
  <c r="H31" i="49"/>
  <c r="G22" i="30" s="1"/>
  <c r="G31" i="49"/>
  <c r="F22" i="30" s="1"/>
  <c r="F31" i="49"/>
  <c r="E22" i="30" s="1"/>
  <c r="E31" i="49"/>
  <c r="D22" i="30" s="1"/>
  <c r="D31" i="49"/>
  <c r="B28" i="49"/>
  <c r="B27" i="49"/>
  <c r="B26" i="49"/>
  <c r="D23" i="49"/>
  <c r="V29" i="42"/>
  <c r="J29" i="42"/>
  <c r="D18" i="49"/>
  <c r="B13" i="49"/>
  <c r="B12" i="49"/>
  <c r="B11" i="49"/>
  <c r="F9" i="49"/>
  <c r="D9" i="49"/>
  <c r="E107" i="49" s="1"/>
  <c r="C9" i="49"/>
  <c r="J7" i="49"/>
  <c r="C7" i="49"/>
  <c r="AI6" i="49"/>
  <c r="AF6" i="49"/>
  <c r="AI5" i="49"/>
  <c r="AF5" i="49"/>
  <c r="J5" i="49"/>
  <c r="C5" i="49"/>
  <c r="B2" i="49"/>
  <c r="D13" i="18"/>
  <c r="B71" i="18"/>
  <c r="B53" i="18"/>
  <c r="C117" i="30" l="1"/>
  <c r="C84" i="30"/>
  <c r="C106" i="30"/>
  <c r="C73" i="30"/>
  <c r="C40" i="30"/>
  <c r="C51" i="30"/>
  <c r="C95" i="30"/>
  <c r="C62" i="30"/>
  <c r="C107" i="30"/>
  <c r="C74" i="30"/>
  <c r="C41" i="30"/>
  <c r="C85" i="30"/>
  <c r="C52" i="30"/>
  <c r="C118" i="30"/>
  <c r="C96" i="30"/>
  <c r="C63" i="30"/>
  <c r="C86" i="30"/>
  <c r="C53" i="30"/>
  <c r="C119" i="30"/>
  <c r="C42" i="30"/>
  <c r="C75" i="30"/>
  <c r="C97" i="30"/>
  <c r="C64" i="30"/>
  <c r="C108" i="30"/>
  <c r="C68" i="30"/>
  <c r="C90" i="30"/>
  <c r="C101" i="30"/>
  <c r="C112" i="30"/>
  <c r="C79" i="30"/>
  <c r="C46" i="30"/>
  <c r="C123" i="30"/>
  <c r="C57" i="30"/>
  <c r="C66" i="30"/>
  <c r="C121" i="30"/>
  <c r="C88" i="30"/>
  <c r="C55" i="30"/>
  <c r="C99" i="30"/>
  <c r="C110" i="30"/>
  <c r="C77" i="30"/>
  <c r="C44" i="30"/>
  <c r="C109" i="30"/>
  <c r="C76" i="30"/>
  <c r="C43" i="30"/>
  <c r="C120" i="30"/>
  <c r="C87" i="30"/>
  <c r="C54" i="30"/>
  <c r="C98" i="30"/>
  <c r="C65" i="30"/>
  <c r="C122" i="30"/>
  <c r="C89" i="30"/>
  <c r="C56" i="30"/>
  <c r="C100" i="30"/>
  <c r="C67" i="30"/>
  <c r="C111" i="30"/>
  <c r="C78" i="30"/>
  <c r="C45" i="30"/>
  <c r="C105" i="30"/>
  <c r="C72" i="30"/>
  <c r="C39" i="30"/>
  <c r="C116" i="30"/>
  <c r="C83" i="30"/>
  <c r="C50" i="30"/>
  <c r="C94" i="30"/>
  <c r="C61" i="30"/>
  <c r="D61" i="50"/>
  <c r="D32" i="19"/>
  <c r="U76" i="35"/>
  <c r="D63" i="50"/>
  <c r="W76" i="35"/>
  <c r="D34" i="19"/>
  <c r="AC76" i="35"/>
  <c r="D41" i="19"/>
  <c r="D69" i="50"/>
  <c r="D39" i="19"/>
  <c r="AA76" i="35"/>
  <c r="D67" i="50"/>
  <c r="D62" i="50"/>
  <c r="V76" i="35"/>
  <c r="D33" i="19"/>
  <c r="D35" i="19"/>
  <c r="D64" i="50"/>
  <c r="X76" i="35"/>
  <c r="AD76" i="35"/>
  <c r="D42" i="19"/>
  <c r="D70" i="50"/>
  <c r="AB76" i="35"/>
  <c r="D40" i="19"/>
  <c r="D68" i="50"/>
  <c r="Y76" i="35"/>
  <c r="D65" i="50"/>
  <c r="D37" i="19"/>
  <c r="AE76" i="35"/>
  <c r="D71" i="50"/>
  <c r="D43" i="19"/>
  <c r="D38" i="19"/>
  <c r="Z76" i="35"/>
  <c r="D66" i="50"/>
  <c r="F29" i="19"/>
  <c r="G62" i="50"/>
  <c r="J92" i="35"/>
  <c r="J29" i="19"/>
  <c r="G65" i="50"/>
  <c r="C24" i="38"/>
  <c r="E35" i="53"/>
  <c r="K9" i="53"/>
  <c r="J24" i="53"/>
  <c r="N23" i="53"/>
  <c r="S36" i="53"/>
  <c r="C37" i="53"/>
  <c r="D24" i="53"/>
  <c r="U9" i="53"/>
  <c r="M10" i="53"/>
  <c r="R11" i="53"/>
  <c r="S35" i="53"/>
  <c r="P24" i="53"/>
  <c r="K10" i="53"/>
  <c r="F35" i="53"/>
  <c r="E37" i="53"/>
  <c r="K36" i="53"/>
  <c r="T24" i="53"/>
  <c r="O11" i="53"/>
  <c r="O10" i="53"/>
  <c r="C9" i="53"/>
  <c r="R24" i="53"/>
  <c r="J22" i="53"/>
  <c r="T22" i="53"/>
  <c r="G36" i="53"/>
  <c r="K37" i="53"/>
  <c r="D22" i="53"/>
  <c r="J23" i="53"/>
  <c r="S9" i="53"/>
  <c r="F11" i="53"/>
  <c r="G35" i="53"/>
  <c r="P22" i="53"/>
  <c r="Q9" i="53"/>
  <c r="P11" i="53"/>
  <c r="L35" i="53"/>
  <c r="Q11" i="53"/>
  <c r="G11" i="53"/>
  <c r="R10" i="53"/>
  <c r="F24" i="53"/>
  <c r="D37" i="53"/>
  <c r="H22" i="53"/>
  <c r="C10" i="53"/>
  <c r="Q36" i="53"/>
  <c r="C35" i="53"/>
  <c r="P36" i="53"/>
  <c r="G9" i="53"/>
  <c r="L10" i="53"/>
  <c r="O9" i="53"/>
  <c r="J37" i="53"/>
  <c r="E9" i="53"/>
  <c r="D11" i="53"/>
  <c r="Q35" i="53"/>
  <c r="Q10" i="53"/>
  <c r="E22" i="53"/>
  <c r="Q37" i="53"/>
  <c r="L9" i="53"/>
  <c r="L23" i="53"/>
  <c r="N9" i="53"/>
  <c r="N37" i="53"/>
  <c r="J11" i="53"/>
  <c r="E36" i="53"/>
  <c r="D36" i="53"/>
  <c r="H11" i="53"/>
  <c r="N24" i="53"/>
  <c r="R9" i="53"/>
  <c r="C22" i="53"/>
  <c r="T11" i="53"/>
  <c r="C23" i="53"/>
  <c r="J10" i="53"/>
  <c r="M23" i="53"/>
  <c r="E10" i="53"/>
  <c r="M36" i="53"/>
  <c r="G24" i="53"/>
  <c r="R22" i="53"/>
  <c r="U22" i="53"/>
  <c r="T36" i="53"/>
  <c r="P10" i="53"/>
  <c r="K35" i="53"/>
  <c r="J35" i="53"/>
  <c r="T9" i="53"/>
  <c r="T23" i="53"/>
  <c r="F9" i="53"/>
  <c r="P37" i="53"/>
  <c r="N10" i="53"/>
  <c r="L24" i="53"/>
  <c r="P9" i="53"/>
  <c r="R23" i="53"/>
  <c r="O22" i="53"/>
  <c r="K11" i="53"/>
  <c r="U35" i="53"/>
  <c r="F37" i="53"/>
  <c r="O35" i="53"/>
  <c r="K22" i="53"/>
  <c r="I11" i="53"/>
  <c r="S22" i="53"/>
  <c r="F22" i="53"/>
  <c r="U36" i="53"/>
  <c r="H36" i="53"/>
  <c r="D10" i="53"/>
  <c r="U10" i="53"/>
  <c r="I10" i="53"/>
  <c r="O24" i="53"/>
  <c r="H23" i="53"/>
  <c r="M24" i="53"/>
  <c r="J36" i="53"/>
  <c r="H9" i="53"/>
  <c r="D9" i="53"/>
  <c r="K24" i="53"/>
  <c r="K23" i="53"/>
  <c r="N36" i="53"/>
  <c r="E23" i="53"/>
  <c r="S11" i="53"/>
  <c r="L36" i="53"/>
  <c r="H35" i="53"/>
  <c r="M37" i="53"/>
  <c r="C36" i="53"/>
  <c r="M11" i="53"/>
  <c r="N35" i="53"/>
  <c r="J9" i="53"/>
  <c r="D23" i="53"/>
  <c r="P23" i="53"/>
  <c r="I23" i="53"/>
  <c r="N22" i="53"/>
  <c r="S23" i="53"/>
  <c r="T10" i="53"/>
  <c r="U23" i="53"/>
  <c r="F23" i="53"/>
  <c r="C24" i="53"/>
  <c r="L22" i="53"/>
  <c r="M9" i="53"/>
  <c r="I24" i="53"/>
  <c r="O37" i="53"/>
  <c r="Q22" i="53"/>
  <c r="G37" i="53"/>
  <c r="H24" i="53"/>
  <c r="R35" i="53"/>
  <c r="M35" i="53"/>
  <c r="L37" i="53"/>
  <c r="S10" i="53"/>
  <c r="L11" i="53"/>
  <c r="L13" i="53" s="1"/>
  <c r="Q24" i="53"/>
  <c r="D35" i="53"/>
  <c r="P35" i="53"/>
  <c r="U37" i="53"/>
  <c r="T37" i="53"/>
  <c r="G23" i="53"/>
  <c r="U24" i="53"/>
  <c r="U26" i="53" s="1"/>
  <c r="S24" i="53"/>
  <c r="I35" i="53"/>
  <c r="T35" i="53"/>
  <c r="I9" i="53"/>
  <c r="C11" i="53"/>
  <c r="R36" i="53"/>
  <c r="G10" i="53"/>
  <c r="F10" i="53"/>
  <c r="E24" i="53"/>
  <c r="H10" i="53"/>
  <c r="N11" i="53"/>
  <c r="O36" i="53"/>
  <c r="H37" i="53"/>
  <c r="M22" i="53"/>
  <c r="I22" i="53"/>
  <c r="I37" i="53"/>
  <c r="R37" i="53"/>
  <c r="Q23" i="53"/>
  <c r="F36" i="53"/>
  <c r="O23" i="53"/>
  <c r="S37" i="53"/>
  <c r="S39" i="53" s="1"/>
  <c r="U11" i="53"/>
  <c r="I36" i="53"/>
  <c r="G22" i="53"/>
  <c r="E11" i="53"/>
  <c r="H10" i="42"/>
  <c r="D29" i="50" s="1"/>
  <c r="G9" i="42"/>
  <c r="T10" i="42"/>
  <c r="P29" i="50" s="1"/>
  <c r="Q10" i="42"/>
  <c r="M29" i="50" s="1"/>
  <c r="P25" i="42"/>
  <c r="W9" i="42"/>
  <c r="Q22" i="42"/>
  <c r="N9" i="42"/>
  <c r="K9" i="42"/>
  <c r="T8" i="42"/>
  <c r="Q8" i="42"/>
  <c r="H8" i="42"/>
  <c r="G17" i="42"/>
  <c r="C40" i="50" s="1"/>
  <c r="E19" i="49"/>
  <c r="E20" i="49" s="1"/>
  <c r="G29" i="42"/>
  <c r="K16" i="42"/>
  <c r="P17" i="42"/>
  <c r="L40" i="50" s="1"/>
  <c r="U18" i="42"/>
  <c r="Q38" i="50" s="1"/>
  <c r="G23" i="42"/>
  <c r="S23" i="42"/>
  <c r="X24" i="42"/>
  <c r="T18" i="50" s="1"/>
  <c r="Y11" i="42"/>
  <c r="U27" i="50" s="1"/>
  <c r="M11" i="42"/>
  <c r="I27" i="50" s="1"/>
  <c r="S10" i="42"/>
  <c r="O29" i="50" s="1"/>
  <c r="Y9" i="42"/>
  <c r="M9" i="42"/>
  <c r="S8" i="42"/>
  <c r="G15" i="42"/>
  <c r="S15" i="42"/>
  <c r="L16" i="42"/>
  <c r="X16" i="42"/>
  <c r="Q17" i="42"/>
  <c r="M40" i="50" s="1"/>
  <c r="J18" i="42"/>
  <c r="F38" i="50" s="1"/>
  <c r="V18" i="42"/>
  <c r="R38" i="50" s="1"/>
  <c r="O22" i="42"/>
  <c r="H23" i="42"/>
  <c r="T23" i="42"/>
  <c r="M24" i="42"/>
  <c r="Y24" i="42"/>
  <c r="U18" i="50" s="1"/>
  <c r="R25" i="42"/>
  <c r="N16" i="50" s="1"/>
  <c r="W16" i="42"/>
  <c r="I18" i="42"/>
  <c r="E38" i="50" s="1"/>
  <c r="N22" i="42"/>
  <c r="L24" i="42"/>
  <c r="Q25" i="42"/>
  <c r="X11" i="42"/>
  <c r="T27" i="50" s="1"/>
  <c r="L11" i="42"/>
  <c r="H27" i="50" s="1"/>
  <c r="R10" i="42"/>
  <c r="N29" i="50" s="1"/>
  <c r="X9" i="42"/>
  <c r="L9" i="42"/>
  <c r="R8" i="42"/>
  <c r="H15" i="42"/>
  <c r="T15" i="42"/>
  <c r="M16" i="42"/>
  <c r="Y16" i="42"/>
  <c r="R17" i="42"/>
  <c r="N40" i="50" s="1"/>
  <c r="K18" i="42"/>
  <c r="G38" i="50" s="1"/>
  <c r="W18" i="42"/>
  <c r="S38" i="50" s="1"/>
  <c r="P22" i="42"/>
  <c r="I23" i="42"/>
  <c r="U23" i="42"/>
  <c r="N24" i="42"/>
  <c r="G25" i="42"/>
  <c r="S25" i="42"/>
  <c r="O16" i="50" s="1"/>
  <c r="T25" i="42"/>
  <c r="P16" i="50" s="1"/>
  <c r="R15" i="42"/>
  <c r="N16" i="42"/>
  <c r="H25" i="42"/>
  <c r="V11" i="42"/>
  <c r="R27" i="50" s="1"/>
  <c r="J11" i="42"/>
  <c r="F27" i="50" s="1"/>
  <c r="P10" i="42"/>
  <c r="V9" i="42"/>
  <c r="J9" i="42"/>
  <c r="P8" i="42"/>
  <c r="J15" i="42"/>
  <c r="V15" i="42"/>
  <c r="O16" i="42"/>
  <c r="H17" i="42"/>
  <c r="D40" i="50" s="1"/>
  <c r="T17" i="42"/>
  <c r="P40" i="50" s="1"/>
  <c r="M18" i="42"/>
  <c r="I38" i="50" s="1"/>
  <c r="Y18" i="42"/>
  <c r="U38" i="50" s="1"/>
  <c r="R22" i="42"/>
  <c r="K23" i="42"/>
  <c r="W23" i="42"/>
  <c r="P24" i="42"/>
  <c r="I25" i="42"/>
  <c r="U25" i="42"/>
  <c r="Q16" i="50" s="1"/>
  <c r="U15" i="42"/>
  <c r="O24" i="42"/>
  <c r="U11" i="42"/>
  <c r="Q27" i="50" s="1"/>
  <c r="I11" i="42"/>
  <c r="E27" i="50" s="1"/>
  <c r="O10" i="42"/>
  <c r="K29" i="50" s="1"/>
  <c r="U9" i="42"/>
  <c r="I9" i="42"/>
  <c r="O8" i="42"/>
  <c r="K15" i="42"/>
  <c r="W15" i="42"/>
  <c r="P16" i="42"/>
  <c r="I17" i="42"/>
  <c r="E40" i="50" s="1"/>
  <c r="U17" i="42"/>
  <c r="Q40" i="50" s="1"/>
  <c r="N18" i="42"/>
  <c r="J38" i="50" s="1"/>
  <c r="G22" i="42"/>
  <c r="S22" i="42"/>
  <c r="L23" i="42"/>
  <c r="X23" i="42"/>
  <c r="Q24" i="42"/>
  <c r="J25" i="42"/>
  <c r="V25" i="42"/>
  <c r="R16" i="50" s="1"/>
  <c r="X18" i="42"/>
  <c r="T38" i="50" s="1"/>
  <c r="T11" i="42"/>
  <c r="P27" i="50" s="1"/>
  <c r="H11" i="42"/>
  <c r="D27" i="50" s="1"/>
  <c r="N10" i="42"/>
  <c r="J29" i="50" s="1"/>
  <c r="T9" i="42"/>
  <c r="H9" i="42"/>
  <c r="N8" i="42"/>
  <c r="L15" i="42"/>
  <c r="X15" i="42"/>
  <c r="Q16" i="42"/>
  <c r="J17" i="42"/>
  <c r="F40" i="50" s="1"/>
  <c r="V17" i="42"/>
  <c r="R40" i="50" s="1"/>
  <c r="O18" i="42"/>
  <c r="K38" i="50" s="1"/>
  <c r="H22" i="42"/>
  <c r="T22" i="42"/>
  <c r="M23" i="42"/>
  <c r="Y23" i="42"/>
  <c r="R24" i="42"/>
  <c r="N18" i="50" s="1"/>
  <c r="K25" i="42"/>
  <c r="W25" i="42"/>
  <c r="S16" i="50" s="1"/>
  <c r="N11" i="42"/>
  <c r="J27" i="50" s="1"/>
  <c r="K11" i="42"/>
  <c r="G27" i="50" s="1"/>
  <c r="L18" i="42"/>
  <c r="H38" i="50" s="1"/>
  <c r="S11" i="42"/>
  <c r="O27" i="50" s="1"/>
  <c r="Y10" i="42"/>
  <c r="U29" i="50" s="1"/>
  <c r="M10" i="42"/>
  <c r="I29" i="50" s="1"/>
  <c r="S9" i="42"/>
  <c r="Y8" i="42"/>
  <c r="M8" i="42"/>
  <c r="M15" i="42"/>
  <c r="Y15" i="42"/>
  <c r="R16" i="42"/>
  <c r="K17" i="42"/>
  <c r="G40" i="50" s="1"/>
  <c r="W17" i="42"/>
  <c r="S40" i="50" s="1"/>
  <c r="P18" i="42"/>
  <c r="L38" i="50" s="1"/>
  <c r="I22" i="42"/>
  <c r="U22" i="42"/>
  <c r="N23" i="42"/>
  <c r="G24" i="42"/>
  <c r="S24" i="42"/>
  <c r="O18" i="50" s="1"/>
  <c r="L25" i="42"/>
  <c r="X25" i="42"/>
  <c r="T16" i="50" s="1"/>
  <c r="J23" i="42"/>
  <c r="R11" i="42"/>
  <c r="N27" i="50" s="1"/>
  <c r="X10" i="42"/>
  <c r="T29" i="50" s="1"/>
  <c r="L10" i="42"/>
  <c r="H29" i="50" s="1"/>
  <c r="R9" i="42"/>
  <c r="X8" i="42"/>
  <c r="L8" i="42"/>
  <c r="N15" i="42"/>
  <c r="G16" i="42"/>
  <c r="S16" i="42"/>
  <c r="L17" i="42"/>
  <c r="H40" i="50" s="1"/>
  <c r="X17" i="42"/>
  <c r="T40" i="50" s="1"/>
  <c r="Q18" i="42"/>
  <c r="M38" i="50" s="1"/>
  <c r="J22" i="42"/>
  <c r="V22" i="42"/>
  <c r="O23" i="42"/>
  <c r="H24" i="42"/>
  <c r="T24" i="42"/>
  <c r="P18" i="50" s="1"/>
  <c r="M25" i="42"/>
  <c r="Y25" i="42"/>
  <c r="U16" i="50" s="1"/>
  <c r="S17" i="42"/>
  <c r="O40" i="50" s="1"/>
  <c r="G8" i="42"/>
  <c r="Q11" i="42"/>
  <c r="M27" i="50" s="1"/>
  <c r="W10" i="42"/>
  <c r="S29" i="50" s="1"/>
  <c r="K10" i="42"/>
  <c r="G29" i="50" s="1"/>
  <c r="Q9" i="42"/>
  <c r="W8" i="42"/>
  <c r="K8" i="42"/>
  <c r="O15" i="42"/>
  <c r="H16" i="42"/>
  <c r="T16" i="42"/>
  <c r="M17" i="42"/>
  <c r="I40" i="50" s="1"/>
  <c r="Y17" i="42"/>
  <c r="U40" i="50" s="1"/>
  <c r="R18" i="42"/>
  <c r="N38" i="50" s="1"/>
  <c r="K22" i="42"/>
  <c r="W22" i="42"/>
  <c r="P23" i="42"/>
  <c r="I24" i="42"/>
  <c r="U24" i="42"/>
  <c r="Q18" i="50" s="1"/>
  <c r="N25" i="42"/>
  <c r="W11" i="42"/>
  <c r="S27" i="50" s="1"/>
  <c r="I15" i="42"/>
  <c r="V23" i="42"/>
  <c r="G11" i="42"/>
  <c r="C27" i="50" s="1"/>
  <c r="P11" i="42"/>
  <c r="V10" i="42"/>
  <c r="R29" i="50" s="1"/>
  <c r="J10" i="42"/>
  <c r="F29" i="50" s="1"/>
  <c r="P9" i="42"/>
  <c r="J10" i="35" s="1"/>
  <c r="V8" i="42"/>
  <c r="J8" i="42"/>
  <c r="P15" i="42"/>
  <c r="I16" i="42"/>
  <c r="U16" i="42"/>
  <c r="N17" i="42"/>
  <c r="J40" i="50" s="1"/>
  <c r="G18" i="42"/>
  <c r="C38" i="50" s="1"/>
  <c r="S18" i="42"/>
  <c r="O38" i="50" s="1"/>
  <c r="L22" i="42"/>
  <c r="X22" i="42"/>
  <c r="Q23" i="42"/>
  <c r="O11" i="19" s="1"/>
  <c r="J24" i="42"/>
  <c r="V24" i="42"/>
  <c r="R18" i="50" s="1"/>
  <c r="O25" i="42"/>
  <c r="G10" i="42"/>
  <c r="C29" i="50" s="1"/>
  <c r="O11" i="42"/>
  <c r="K27" i="50" s="1"/>
  <c r="U10" i="42"/>
  <c r="Q29" i="50" s="1"/>
  <c r="I10" i="42"/>
  <c r="E29" i="50" s="1"/>
  <c r="O9" i="42"/>
  <c r="U8" i="42"/>
  <c r="I8" i="42"/>
  <c r="Q15" i="42"/>
  <c r="J16" i="42"/>
  <c r="V16" i="42"/>
  <c r="O17" i="42"/>
  <c r="K40" i="50" s="1"/>
  <c r="H18" i="42"/>
  <c r="D38" i="50" s="1"/>
  <c r="T18" i="42"/>
  <c r="P38" i="50" s="1"/>
  <c r="M22" i="42"/>
  <c r="Y22" i="42"/>
  <c r="R23" i="42"/>
  <c r="K24" i="42"/>
  <c r="W24" i="42"/>
  <c r="S18" i="50" s="1"/>
  <c r="H19" i="49"/>
  <c r="H29" i="42"/>
  <c r="T19" i="49"/>
  <c r="S19" i="49"/>
  <c r="E76" i="49"/>
  <c r="U78" i="35" s="1"/>
  <c r="E109" i="49"/>
  <c r="D6" i="30" s="1"/>
  <c r="E108" i="49"/>
  <c r="D5" i="30" s="1"/>
  <c r="J14" i="35" l="1"/>
  <c r="M14" i="35"/>
  <c r="C14" i="35"/>
  <c r="N13" i="19"/>
  <c r="F14" i="35"/>
  <c r="N15" i="19"/>
  <c r="M18" i="50"/>
  <c r="O15" i="19"/>
  <c r="M16" i="50"/>
  <c r="O13" i="19"/>
  <c r="C10" i="35"/>
  <c r="N11" i="19"/>
  <c r="E37" i="19"/>
  <c r="F64" i="50"/>
  <c r="F71" i="50"/>
  <c r="F65" i="50"/>
  <c r="F70" i="50"/>
  <c r="E35" i="19"/>
  <c r="F69" i="50"/>
  <c r="E34" i="19"/>
  <c r="F63" i="50"/>
  <c r="E32" i="19"/>
  <c r="F66" i="50"/>
  <c r="F68" i="50"/>
  <c r="F67" i="50"/>
  <c r="E33" i="19"/>
  <c r="AE78" i="35"/>
  <c r="X78" i="35"/>
  <c r="AB78" i="35"/>
  <c r="Y78" i="35"/>
  <c r="AD78" i="35"/>
  <c r="V78" i="35"/>
  <c r="F62" i="50"/>
  <c r="AC78" i="35"/>
  <c r="AA78" i="35"/>
  <c r="Z78" i="35"/>
  <c r="W78" i="35"/>
  <c r="G39" i="53"/>
  <c r="N96" i="49"/>
  <c r="E100" i="49"/>
  <c r="H39" i="53"/>
  <c r="S13" i="53"/>
  <c r="H26" i="53"/>
  <c r="E13" i="53"/>
  <c r="E26" i="53"/>
  <c r="E39" i="53"/>
  <c r="U13" i="53"/>
  <c r="C13" i="53"/>
  <c r="N13" i="53"/>
  <c r="U39" i="53"/>
  <c r="C26" i="53"/>
  <c r="I39" i="53"/>
  <c r="T39" i="53"/>
  <c r="R39" i="53"/>
  <c r="O39" i="53"/>
  <c r="K26" i="53"/>
  <c r="L26" i="53"/>
  <c r="G26" i="53"/>
  <c r="J39" i="53"/>
  <c r="G13" i="53"/>
  <c r="P26" i="53"/>
  <c r="L39" i="53"/>
  <c r="Q13" i="53"/>
  <c r="Q39" i="53"/>
  <c r="O26" i="53"/>
  <c r="S26" i="53"/>
  <c r="J13" i="53"/>
  <c r="M13" i="53"/>
  <c r="M39" i="53"/>
  <c r="T13" i="53"/>
  <c r="H13" i="53"/>
  <c r="D13" i="53"/>
  <c r="I26" i="53"/>
  <c r="P39" i="53"/>
  <c r="N39" i="53"/>
  <c r="R13" i="53"/>
  <c r="I13" i="53"/>
  <c r="P13" i="53"/>
  <c r="R26" i="53"/>
  <c r="Q26" i="53"/>
  <c r="M26" i="53"/>
  <c r="D26" i="53"/>
  <c r="F39" i="53"/>
  <c r="O13" i="53"/>
  <c r="C39" i="53"/>
  <c r="F13" i="53"/>
  <c r="T26" i="53"/>
  <c r="K13" i="53"/>
  <c r="N26" i="53"/>
  <c r="D39" i="53"/>
  <c r="J26" i="53"/>
  <c r="F26" i="53"/>
  <c r="K39" i="53"/>
  <c r="L29" i="50"/>
  <c r="L27" i="50"/>
  <c r="R53" i="42"/>
  <c r="O53" i="42"/>
  <c r="V44" i="42"/>
  <c r="V35" i="42"/>
  <c r="AL84" i="35" s="1"/>
  <c r="J53" i="42"/>
  <c r="U44" i="42"/>
  <c r="U35" i="42"/>
  <c r="AK84" i="35" s="1"/>
  <c r="X53" i="42"/>
  <c r="T44" i="42"/>
  <c r="Y53" i="42"/>
  <c r="T55" i="42"/>
  <c r="R44" i="42"/>
  <c r="H55" i="42"/>
  <c r="W44" i="42"/>
  <c r="V53" i="42"/>
  <c r="I44" i="42"/>
  <c r="H44" i="42"/>
  <c r="H35" i="42"/>
  <c r="K44" i="42"/>
  <c r="X44" i="42"/>
  <c r="U53" i="42"/>
  <c r="K53" i="42"/>
  <c r="I53" i="42"/>
  <c r="R55" i="42"/>
  <c r="L44" i="42"/>
  <c r="S44" i="42"/>
  <c r="N53" i="42"/>
  <c r="J44" i="42"/>
  <c r="J35" i="42"/>
  <c r="N55" i="42"/>
  <c r="Y55" i="42"/>
  <c r="X55" i="42"/>
  <c r="E11" i="19"/>
  <c r="G44" i="42"/>
  <c r="G35" i="42"/>
  <c r="Q55" i="42"/>
  <c r="V55" i="42"/>
  <c r="P53" i="42"/>
  <c r="H53" i="42"/>
  <c r="M55" i="42"/>
  <c r="L55" i="42"/>
  <c r="W53" i="42"/>
  <c r="Q53" i="42"/>
  <c r="P44" i="42"/>
  <c r="J55" i="42"/>
  <c r="Q44" i="42"/>
  <c r="Y44" i="42"/>
  <c r="T53" i="42"/>
  <c r="O55" i="42"/>
  <c r="W55" i="42"/>
  <c r="O44" i="42"/>
  <c r="K55" i="42"/>
  <c r="U55" i="42"/>
  <c r="I55" i="42"/>
  <c r="S55" i="42"/>
  <c r="M44" i="42"/>
  <c r="G55" i="42"/>
  <c r="S53" i="42"/>
  <c r="N44" i="42"/>
  <c r="P55" i="42"/>
  <c r="L53" i="42"/>
  <c r="M53" i="42"/>
  <c r="G53" i="42"/>
  <c r="P14" i="50"/>
  <c r="Q36" i="50"/>
  <c r="N25" i="50"/>
  <c r="T25" i="50"/>
  <c r="E36" i="50"/>
  <c r="M36" i="50"/>
  <c r="E25" i="50"/>
  <c r="P36" i="50"/>
  <c r="Q14" i="50"/>
  <c r="T14" i="50"/>
  <c r="Q25" i="50"/>
  <c r="G25" i="50"/>
  <c r="R14" i="50"/>
  <c r="U25" i="50"/>
  <c r="M25" i="50"/>
  <c r="N36" i="50"/>
  <c r="O14" i="50"/>
  <c r="J25" i="50"/>
  <c r="F25" i="50"/>
  <c r="R25" i="50"/>
  <c r="J36" i="50"/>
  <c r="U36" i="50"/>
  <c r="T36" i="50"/>
  <c r="D36" i="50"/>
  <c r="S14" i="50"/>
  <c r="R36" i="50"/>
  <c r="L25" i="50"/>
  <c r="D25" i="50"/>
  <c r="I36" i="50"/>
  <c r="H36" i="50"/>
  <c r="S25" i="50"/>
  <c r="K25" i="50"/>
  <c r="N14" i="50"/>
  <c r="F36" i="50"/>
  <c r="M14" i="50"/>
  <c r="U14" i="50"/>
  <c r="P25" i="50"/>
  <c r="K36" i="50"/>
  <c r="S36" i="50"/>
  <c r="G36" i="50"/>
  <c r="C36" i="50"/>
  <c r="O25" i="50"/>
  <c r="O36" i="50"/>
  <c r="L36" i="50"/>
  <c r="H25" i="50"/>
  <c r="I25" i="50"/>
  <c r="C25" i="50"/>
  <c r="E14" i="50"/>
  <c r="G11" i="19"/>
  <c r="D14" i="50"/>
  <c r="F11" i="19"/>
  <c r="F16" i="50"/>
  <c r="H13" i="19"/>
  <c r="K16" i="50"/>
  <c r="M13" i="19"/>
  <c r="E18" i="50"/>
  <c r="G15" i="19"/>
  <c r="H14" i="50"/>
  <c r="J11" i="19"/>
  <c r="D16" i="50"/>
  <c r="F13" i="19"/>
  <c r="H18" i="50"/>
  <c r="J15" i="19"/>
  <c r="G18" i="50"/>
  <c r="I15" i="19"/>
  <c r="L14" i="50"/>
  <c r="F14" i="50"/>
  <c r="H11" i="19"/>
  <c r="G16" i="50"/>
  <c r="I13" i="19"/>
  <c r="D18" i="50"/>
  <c r="F15" i="19"/>
  <c r="J16" i="50"/>
  <c r="L13" i="19"/>
  <c r="F18" i="50"/>
  <c r="H15" i="19"/>
  <c r="I16" i="50"/>
  <c r="K13" i="19"/>
  <c r="L18" i="50"/>
  <c r="K14" i="50"/>
  <c r="M11" i="19"/>
  <c r="H16" i="50"/>
  <c r="J13" i="19"/>
  <c r="K18" i="50"/>
  <c r="M15" i="19"/>
  <c r="L16" i="50"/>
  <c r="I14" i="50"/>
  <c r="K11" i="19"/>
  <c r="G14" i="50"/>
  <c r="I11" i="19"/>
  <c r="C18" i="50"/>
  <c r="E15" i="19"/>
  <c r="C16" i="50"/>
  <c r="E13" i="19"/>
  <c r="J14" i="50"/>
  <c r="L11" i="19"/>
  <c r="E16" i="50"/>
  <c r="G13" i="19"/>
  <c r="J18" i="50"/>
  <c r="L15" i="19"/>
  <c r="I18" i="50"/>
  <c r="K15" i="19"/>
  <c r="G49" i="42"/>
  <c r="C14" i="50"/>
  <c r="J97" i="49"/>
  <c r="E95" i="49"/>
  <c r="I99" i="49"/>
  <c r="F97" i="49"/>
  <c r="J98" i="49"/>
  <c r="I93" i="49"/>
  <c r="I19" i="49"/>
  <c r="K30" i="42" s="1"/>
  <c r="K54" i="42" s="1"/>
  <c r="K29" i="42"/>
  <c r="K35" i="42" s="1"/>
  <c r="Q19" i="49"/>
  <c r="S30" i="42" s="1"/>
  <c r="S54" i="42" s="1"/>
  <c r="S29" i="42"/>
  <c r="S35" i="42" s="1"/>
  <c r="AI84" i="35" s="1"/>
  <c r="P19" i="49"/>
  <c r="P20" i="49" s="1"/>
  <c r="R31" i="42" s="1"/>
  <c r="R56" i="42" s="1"/>
  <c r="R29" i="42"/>
  <c r="R35" i="42" s="1"/>
  <c r="AH84" i="35" s="1"/>
  <c r="O19" i="49"/>
  <c r="O20" i="49" s="1"/>
  <c r="Q31" i="42" s="1"/>
  <c r="Q56" i="42" s="1"/>
  <c r="Q29" i="42"/>
  <c r="Q35" i="42" s="1"/>
  <c r="T93" i="49"/>
  <c r="J95" i="49"/>
  <c r="N19" i="49"/>
  <c r="N20" i="49" s="1"/>
  <c r="P31" i="42" s="1"/>
  <c r="P56" i="42" s="1"/>
  <c r="P29" i="42"/>
  <c r="V94" i="49"/>
  <c r="R19" i="49"/>
  <c r="R20" i="49" s="1"/>
  <c r="T31" i="42" s="1"/>
  <c r="T56" i="42" s="1"/>
  <c r="T29" i="42"/>
  <c r="T35" i="42" s="1"/>
  <c r="N95" i="49"/>
  <c r="U19" i="49"/>
  <c r="U20" i="49" s="1"/>
  <c r="W31" i="42" s="1"/>
  <c r="W56" i="42" s="1"/>
  <c r="W29" i="42"/>
  <c r="W35" i="42" s="1"/>
  <c r="AM84" i="35" s="1"/>
  <c r="M19" i="49"/>
  <c r="M20" i="49" s="1"/>
  <c r="O31" i="42" s="1"/>
  <c r="O56" i="42" s="1"/>
  <c r="O29" i="42"/>
  <c r="O35" i="42" s="1"/>
  <c r="L100" i="49"/>
  <c r="L19" i="49"/>
  <c r="L20" i="49" s="1"/>
  <c r="N31" i="42" s="1"/>
  <c r="N56" i="42" s="1"/>
  <c r="N29" i="42"/>
  <c r="N35" i="42" s="1"/>
  <c r="P96" i="49"/>
  <c r="W19" i="49"/>
  <c r="W20" i="49" s="1"/>
  <c r="Y31" i="42" s="1"/>
  <c r="Y56" i="42" s="1"/>
  <c r="Y29" i="42"/>
  <c r="Y35" i="42" s="1"/>
  <c r="AO84" i="35" s="1"/>
  <c r="P95" i="49"/>
  <c r="K19" i="49"/>
  <c r="K20" i="49" s="1"/>
  <c r="M31" i="42" s="1"/>
  <c r="M56" i="42" s="1"/>
  <c r="M29" i="42"/>
  <c r="M35" i="42" s="1"/>
  <c r="R96" i="49"/>
  <c r="V19" i="49"/>
  <c r="X30" i="42" s="1"/>
  <c r="X54" i="42" s="1"/>
  <c r="X29" i="42"/>
  <c r="X35" i="42" s="1"/>
  <c r="AN84" i="35" s="1"/>
  <c r="V96" i="49"/>
  <c r="G19" i="49"/>
  <c r="G20" i="49" s="1"/>
  <c r="I31" i="42" s="1"/>
  <c r="I56" i="42" s="1"/>
  <c r="I29" i="42"/>
  <c r="I35" i="42" s="1"/>
  <c r="J19" i="49"/>
  <c r="L30" i="42" s="1"/>
  <c r="L54" i="42" s="1"/>
  <c r="L29" i="42"/>
  <c r="L35" i="42" s="1"/>
  <c r="N98" i="49"/>
  <c r="K99" i="49"/>
  <c r="H93" i="49"/>
  <c r="Q98" i="49"/>
  <c r="U99" i="49"/>
  <c r="W99" i="49"/>
  <c r="R94" i="49"/>
  <c r="J93" i="49"/>
  <c r="M97" i="49"/>
  <c r="S99" i="49"/>
  <c r="V93" i="49"/>
  <c r="N94" i="49"/>
  <c r="T95" i="49"/>
  <c r="J94" i="49"/>
  <c r="E93" i="49"/>
  <c r="P97" i="49"/>
  <c r="R97" i="49"/>
  <c r="T97" i="49"/>
  <c r="P99" i="49"/>
  <c r="R98" i="49"/>
  <c r="T98" i="49"/>
  <c r="V98" i="49"/>
  <c r="L97" i="49"/>
  <c r="T100" i="49"/>
  <c r="W97" i="49"/>
  <c r="U100" i="49"/>
  <c r="V100" i="49"/>
  <c r="O93" i="49"/>
  <c r="S95" i="49"/>
  <c r="W100" i="49"/>
  <c r="Q94" i="49"/>
  <c r="O99" i="49"/>
  <c r="Q100" i="49"/>
  <c r="N100" i="49"/>
  <c r="O100" i="49"/>
  <c r="N93" i="49"/>
  <c r="P94" i="49"/>
  <c r="R95" i="49"/>
  <c r="T96" i="49"/>
  <c r="V97" i="49"/>
  <c r="N99" i="49"/>
  <c r="P100" i="49"/>
  <c r="U96" i="49"/>
  <c r="R100" i="49"/>
  <c r="Q93" i="49"/>
  <c r="S94" i="49"/>
  <c r="U95" i="49"/>
  <c r="W96" i="49"/>
  <c r="O98" i="49"/>
  <c r="Q99" i="49"/>
  <c r="S100" i="49"/>
  <c r="S20" i="49"/>
  <c r="U31" i="42" s="1"/>
  <c r="U56" i="42" s="1"/>
  <c r="U30" i="42"/>
  <c r="U54" i="42" s="1"/>
  <c r="T99" i="49"/>
  <c r="V99" i="49"/>
  <c r="O94" i="49"/>
  <c r="V95" i="49"/>
  <c r="T20" i="49"/>
  <c r="V31" i="42" s="1"/>
  <c r="V56" i="42" s="1"/>
  <c r="V30" i="42"/>
  <c r="V54" i="42" s="1"/>
  <c r="U93" i="49"/>
  <c r="W93" i="49"/>
  <c r="Q95" i="49"/>
  <c r="T94" i="49"/>
  <c r="I94" i="49"/>
  <c r="E94" i="49"/>
  <c r="G96" i="49"/>
  <c r="J96" i="49"/>
  <c r="S93" i="49"/>
  <c r="W94" i="49"/>
  <c r="O95" i="49"/>
  <c r="S96" i="49"/>
  <c r="R99" i="49"/>
  <c r="U94" i="49"/>
  <c r="O96" i="49"/>
  <c r="Q96" i="49"/>
  <c r="U97" i="49"/>
  <c r="R93" i="49"/>
  <c r="W95" i="49"/>
  <c r="Q97" i="49"/>
  <c r="S97" i="49"/>
  <c r="W98" i="49"/>
  <c r="P98" i="49"/>
  <c r="H97" i="49"/>
  <c r="L96" i="49"/>
  <c r="H20" i="49"/>
  <c r="J31" i="42" s="1"/>
  <c r="J56" i="42" s="1"/>
  <c r="J30" i="42"/>
  <c r="J54" i="42" s="1"/>
  <c r="O97" i="49"/>
  <c r="S98" i="49"/>
  <c r="U98" i="49"/>
  <c r="P93" i="49"/>
  <c r="N97" i="49"/>
  <c r="G31" i="42"/>
  <c r="G56" i="42" s="1"/>
  <c r="G30" i="42"/>
  <c r="G54" i="42" s="1"/>
  <c r="F96" i="49"/>
  <c r="G99" i="49"/>
  <c r="K96" i="49"/>
  <c r="M98" i="49"/>
  <c r="L93" i="49"/>
  <c r="K95" i="49"/>
  <c r="I100" i="49"/>
  <c r="F100" i="49"/>
  <c r="I96" i="49"/>
  <c r="I98" i="49"/>
  <c r="G93" i="49"/>
  <c r="L95" i="49"/>
  <c r="L98" i="49"/>
  <c r="F98" i="49"/>
  <c r="K93" i="49"/>
  <c r="M95" i="49"/>
  <c r="M94" i="49"/>
  <c r="G94" i="49"/>
  <c r="H96" i="49"/>
  <c r="J99" i="49"/>
  <c r="E97" i="49"/>
  <c r="M93" i="49"/>
  <c r="K94" i="49"/>
  <c r="F94" i="49"/>
  <c r="H98" i="49"/>
  <c r="G97" i="49"/>
  <c r="E98" i="49"/>
  <c r="M99" i="49"/>
  <c r="H99" i="49"/>
  <c r="M100" i="49"/>
  <c r="K98" i="49"/>
  <c r="I97" i="49"/>
  <c r="E96" i="49"/>
  <c r="M96" i="49"/>
  <c r="G100" i="49"/>
  <c r="J100" i="49"/>
  <c r="E99" i="49"/>
  <c r="F93" i="49"/>
  <c r="I95" i="49"/>
  <c r="G95" i="49"/>
  <c r="K97" i="49"/>
  <c r="L99" i="49"/>
  <c r="L94" i="49"/>
  <c r="H94" i="49"/>
  <c r="F99" i="49"/>
  <c r="G98" i="49"/>
  <c r="H100" i="49"/>
  <c r="K100" i="49"/>
  <c r="H95" i="49"/>
  <c r="F19" i="49"/>
  <c r="F95" i="49"/>
  <c r="C20" i="19"/>
  <c r="AG84" i="35" l="1"/>
  <c r="O19" i="19"/>
  <c r="AC84" i="35"/>
  <c r="AB44" i="35"/>
  <c r="T38" i="42"/>
  <c r="AJ84" i="35"/>
  <c r="W84" i="35"/>
  <c r="V44" i="35"/>
  <c r="AA84" i="35"/>
  <c r="Z44" i="35"/>
  <c r="AB84" i="35"/>
  <c r="AA44" i="35"/>
  <c r="P35" i="42"/>
  <c r="U38" i="35"/>
  <c r="I38" i="42"/>
  <c r="G9" i="19" s="1"/>
  <c r="Y84" i="35"/>
  <c r="X44" i="35"/>
  <c r="AD84" i="35"/>
  <c r="AC44" i="35"/>
  <c r="D11" i="50"/>
  <c r="D12" i="50" s="1"/>
  <c r="X84" i="35"/>
  <c r="W44" i="35"/>
  <c r="Z84" i="35"/>
  <c r="Y44" i="35"/>
  <c r="AE84" i="35"/>
  <c r="AD44" i="35"/>
  <c r="Y38" i="42"/>
  <c r="W38" i="42"/>
  <c r="R38" i="42"/>
  <c r="X38" i="42"/>
  <c r="O38" i="42"/>
  <c r="M9" i="19" s="1"/>
  <c r="Q38" i="42"/>
  <c r="O9" i="19" s="1"/>
  <c r="M38" i="42"/>
  <c r="K9" i="19" s="1"/>
  <c r="S38" i="42"/>
  <c r="L38" i="42"/>
  <c r="J9" i="19" s="1"/>
  <c r="K38" i="42"/>
  <c r="I9" i="19" s="1"/>
  <c r="N38" i="42"/>
  <c r="L9" i="19" s="1"/>
  <c r="R11" i="50"/>
  <c r="R12" i="50" s="1"/>
  <c r="V38" i="42"/>
  <c r="Q11" i="50"/>
  <c r="Q12" i="50" s="1"/>
  <c r="U38" i="42"/>
  <c r="F11" i="50"/>
  <c r="F12" i="50" s="1"/>
  <c r="J38" i="42"/>
  <c r="H9" i="19" s="1"/>
  <c r="G25" i="30"/>
  <c r="S25" i="30"/>
  <c r="Q20" i="49"/>
  <c r="S31" i="42" s="1"/>
  <c r="S56" i="42" s="1"/>
  <c r="I20" i="49"/>
  <c r="K31" i="42" s="1"/>
  <c r="K56" i="42" s="1"/>
  <c r="U37" i="42"/>
  <c r="M37" i="42"/>
  <c r="X36" i="42"/>
  <c r="U36" i="42"/>
  <c r="S36" i="42"/>
  <c r="G36" i="42"/>
  <c r="V45" i="35" s="1"/>
  <c r="J37" i="42"/>
  <c r="J36" i="42"/>
  <c r="Y45" i="35" s="1"/>
  <c r="R25" i="30"/>
  <c r="G37" i="42"/>
  <c r="Y37" i="42"/>
  <c r="R37" i="42"/>
  <c r="W37" i="42"/>
  <c r="T37" i="42"/>
  <c r="L36" i="42"/>
  <c r="AA45" i="35" s="1"/>
  <c r="V37" i="42"/>
  <c r="N37" i="42"/>
  <c r="O37" i="42"/>
  <c r="P37" i="42"/>
  <c r="I37" i="42"/>
  <c r="K36" i="42"/>
  <c r="Z45" i="35" s="1"/>
  <c r="Q37" i="42"/>
  <c r="V36" i="42"/>
  <c r="T11" i="50"/>
  <c r="T12" i="50" s="1"/>
  <c r="K11" i="50"/>
  <c r="K12" i="50" s="1"/>
  <c r="N11" i="50"/>
  <c r="N12" i="50" s="1"/>
  <c r="M11" i="50"/>
  <c r="M12" i="50" s="1"/>
  <c r="F10" i="35" s="1"/>
  <c r="U11" i="50"/>
  <c r="U12" i="50" s="1"/>
  <c r="I11" i="50"/>
  <c r="I12" i="50" s="1"/>
  <c r="J20" i="49"/>
  <c r="L31" i="42" s="1"/>
  <c r="W30" i="42"/>
  <c r="R30" i="42"/>
  <c r="Y30" i="42"/>
  <c r="V20" i="49"/>
  <c r="X31" i="42" s="1"/>
  <c r="P30" i="42"/>
  <c r="I30" i="42"/>
  <c r="O25" i="30"/>
  <c r="O11" i="50"/>
  <c r="O12" i="50" s="1"/>
  <c r="P25" i="30"/>
  <c r="W102" i="49"/>
  <c r="M30" i="42"/>
  <c r="H102" i="49"/>
  <c r="H103" i="49" s="1"/>
  <c r="J102" i="49"/>
  <c r="J103" i="49" s="1"/>
  <c r="N30" i="42"/>
  <c r="U102" i="49"/>
  <c r="N102" i="49"/>
  <c r="M102" i="49"/>
  <c r="P102" i="49"/>
  <c r="O30" i="42"/>
  <c r="V25" i="30"/>
  <c r="S11" i="50"/>
  <c r="S12" i="50" s="1"/>
  <c r="T25" i="30"/>
  <c r="P11" i="50"/>
  <c r="P12" i="50" s="1"/>
  <c r="Q25" i="30"/>
  <c r="J11" i="50"/>
  <c r="J12" i="50" s="1"/>
  <c r="K25" i="30"/>
  <c r="H11" i="50"/>
  <c r="H12" i="50" s="1"/>
  <c r="I25" i="30"/>
  <c r="G11" i="50"/>
  <c r="G12" i="50" s="1"/>
  <c r="H25" i="30"/>
  <c r="E11" i="50"/>
  <c r="E12" i="50" s="1"/>
  <c r="F25" i="30"/>
  <c r="J25" i="30"/>
  <c r="U25" i="30"/>
  <c r="Q30" i="42"/>
  <c r="T30" i="42"/>
  <c r="L25" i="30"/>
  <c r="C11" i="50"/>
  <c r="C12" i="50" s="1"/>
  <c r="E25" i="30"/>
  <c r="D25" i="30"/>
  <c r="T102" i="49"/>
  <c r="F20" i="49"/>
  <c r="H31" i="42" s="1"/>
  <c r="H30" i="42"/>
  <c r="R102" i="49"/>
  <c r="Q102" i="49"/>
  <c r="S102" i="49"/>
  <c r="I102" i="49"/>
  <c r="I103" i="49" s="1"/>
  <c r="H38" i="42"/>
  <c r="F9" i="19" s="1"/>
  <c r="G102" i="49"/>
  <c r="G103" i="49" s="1"/>
  <c r="L102" i="49"/>
  <c r="O102" i="49"/>
  <c r="V102" i="49"/>
  <c r="K102" i="49"/>
  <c r="K103" i="49" s="1"/>
  <c r="E102" i="49"/>
  <c r="E103" i="49" s="1"/>
  <c r="F102" i="49"/>
  <c r="F103" i="49" s="1"/>
  <c r="H28" i="30" l="1"/>
  <c r="H30" i="30"/>
  <c r="H32" i="30"/>
  <c r="H34" i="30"/>
  <c r="H29" i="30"/>
  <c r="H31" i="30"/>
  <c r="H33" i="30"/>
  <c r="H35" i="30"/>
  <c r="O29" i="30"/>
  <c r="O31" i="30"/>
  <c r="O33" i="30"/>
  <c r="O35" i="30"/>
  <c r="O28" i="30"/>
  <c r="O30" i="30"/>
  <c r="O32" i="30"/>
  <c r="O34" i="30"/>
  <c r="D29" i="30"/>
  <c r="D30" i="30"/>
  <c r="D31" i="30"/>
  <c r="D32" i="30"/>
  <c r="D33" i="30"/>
  <c r="D34" i="30"/>
  <c r="D35" i="30"/>
  <c r="D28" i="30"/>
  <c r="I28" i="30"/>
  <c r="I30" i="30"/>
  <c r="I32" i="30"/>
  <c r="I34" i="30"/>
  <c r="I29" i="30"/>
  <c r="I31" i="30"/>
  <c r="I33" i="30"/>
  <c r="I35" i="30"/>
  <c r="S28" i="30"/>
  <c r="S30" i="30"/>
  <c r="S32" i="30"/>
  <c r="S34" i="30"/>
  <c r="S29" i="30"/>
  <c r="S31" i="30"/>
  <c r="S33" i="30"/>
  <c r="S35" i="30"/>
  <c r="J32" i="30"/>
  <c r="J35" i="30"/>
  <c r="J28" i="30"/>
  <c r="J30" i="30"/>
  <c r="J34" i="30"/>
  <c r="J33" i="30"/>
  <c r="J31" i="30"/>
  <c r="J29" i="30"/>
  <c r="R32" i="30"/>
  <c r="R28" i="30"/>
  <c r="R30" i="30"/>
  <c r="R34" i="30"/>
  <c r="R35" i="30"/>
  <c r="R29" i="30"/>
  <c r="R31" i="30"/>
  <c r="R33" i="30"/>
  <c r="G28" i="30"/>
  <c r="G30" i="30"/>
  <c r="G32" i="30"/>
  <c r="G34" i="30"/>
  <c r="G29" i="30"/>
  <c r="G31" i="30"/>
  <c r="G33" i="30"/>
  <c r="G35" i="30"/>
  <c r="E28" i="30"/>
  <c r="E30" i="30"/>
  <c r="E32" i="30"/>
  <c r="E34" i="30"/>
  <c r="E29" i="30"/>
  <c r="E31" i="30"/>
  <c r="E33" i="30"/>
  <c r="E35" i="30"/>
  <c r="K29" i="30"/>
  <c r="K31" i="30"/>
  <c r="K33" i="30"/>
  <c r="K35" i="30"/>
  <c r="K28" i="30"/>
  <c r="K30" i="30"/>
  <c r="K32" i="30"/>
  <c r="K34" i="30"/>
  <c r="L35" i="30"/>
  <c r="L29" i="30"/>
  <c r="L31" i="30"/>
  <c r="L33" i="30"/>
  <c r="L28" i="30"/>
  <c r="L30" i="30"/>
  <c r="L32" i="30"/>
  <c r="L34" i="30"/>
  <c r="Q28" i="30"/>
  <c r="Q30" i="30"/>
  <c r="Q32" i="30"/>
  <c r="Q34" i="30"/>
  <c r="Q29" i="30"/>
  <c r="Q31" i="30"/>
  <c r="Q33" i="30"/>
  <c r="Q35" i="30"/>
  <c r="U28" i="30"/>
  <c r="U30" i="30"/>
  <c r="U32" i="30"/>
  <c r="U34" i="30"/>
  <c r="U29" i="30"/>
  <c r="U31" i="30"/>
  <c r="U33" i="30"/>
  <c r="U35" i="30"/>
  <c r="T28" i="30"/>
  <c r="T30" i="30"/>
  <c r="T32" i="30"/>
  <c r="T34" i="30"/>
  <c r="T29" i="30"/>
  <c r="T31" i="30"/>
  <c r="T33" i="30"/>
  <c r="T35" i="30"/>
  <c r="P33" i="30"/>
  <c r="P29" i="30"/>
  <c r="P31" i="30"/>
  <c r="P35" i="30"/>
  <c r="P30" i="30"/>
  <c r="P34" i="30"/>
  <c r="P28" i="30"/>
  <c r="P32" i="30"/>
  <c r="F30" i="30"/>
  <c r="F34" i="30"/>
  <c r="F28" i="30"/>
  <c r="F32" i="30"/>
  <c r="F29" i="30"/>
  <c r="F31" i="30"/>
  <c r="F33" i="30"/>
  <c r="F35" i="30"/>
  <c r="V35" i="30"/>
  <c r="V33" i="30"/>
  <c r="V31" i="30"/>
  <c r="V34" i="30"/>
  <c r="V28" i="30"/>
  <c r="V30" i="30"/>
  <c r="V32" i="30"/>
  <c r="V29" i="30"/>
  <c r="L11" i="50"/>
  <c r="L12" i="50" s="1"/>
  <c r="N19" i="19"/>
  <c r="P38" i="42"/>
  <c r="N9" i="19" s="1"/>
  <c r="M25" i="30"/>
  <c r="Z48" i="35"/>
  <c r="AA46" i="35"/>
  <c r="AA49" i="35" s="1"/>
  <c r="Y46" i="35"/>
  <c r="Y49" i="35" s="1"/>
  <c r="V48" i="35"/>
  <c r="AE44" i="35"/>
  <c r="AF84" i="35"/>
  <c r="C74" i="35" s="1"/>
  <c r="Z46" i="35"/>
  <c r="Z49" i="35" s="1"/>
  <c r="Y48" i="35"/>
  <c r="V46" i="35"/>
  <c r="V49" i="35" s="1"/>
  <c r="AA48" i="35"/>
  <c r="V39" i="42"/>
  <c r="I40" i="42"/>
  <c r="J39" i="42"/>
  <c r="W61" i="42"/>
  <c r="W40" i="42"/>
  <c r="U61" i="42"/>
  <c r="U40" i="42"/>
  <c r="R61" i="42"/>
  <c r="R40" i="42"/>
  <c r="Y61" i="42"/>
  <c r="Y40" i="42"/>
  <c r="L60" i="42"/>
  <c r="L39" i="42"/>
  <c r="X60" i="42"/>
  <c r="X39" i="42"/>
  <c r="T61" i="42"/>
  <c r="T40" i="42"/>
  <c r="M33" i="50"/>
  <c r="M34" i="50" s="1"/>
  <c r="Q40" i="42"/>
  <c r="M61" i="42"/>
  <c r="M40" i="42"/>
  <c r="K60" i="42"/>
  <c r="K39" i="42"/>
  <c r="P61" i="42"/>
  <c r="P40" i="42"/>
  <c r="J61" i="42"/>
  <c r="J40" i="42"/>
  <c r="O61" i="42"/>
  <c r="O40" i="42"/>
  <c r="G60" i="42"/>
  <c r="G46" i="42"/>
  <c r="G47" i="42" s="1"/>
  <c r="G42" i="42"/>
  <c r="G43" i="42" s="1"/>
  <c r="G45" i="42" s="1"/>
  <c r="N61" i="42"/>
  <c r="N40" i="42"/>
  <c r="S60" i="42"/>
  <c r="S39" i="42"/>
  <c r="V61" i="42"/>
  <c r="V40" i="42"/>
  <c r="U60" i="42"/>
  <c r="U39" i="42"/>
  <c r="P33" i="50"/>
  <c r="P34" i="50" s="1"/>
  <c r="Q22" i="50"/>
  <c r="Q23" i="50" s="1"/>
  <c r="Q33" i="50"/>
  <c r="Q34" i="50" s="1"/>
  <c r="I33" i="50"/>
  <c r="I34" i="50" s="1"/>
  <c r="R33" i="50"/>
  <c r="R34" i="50" s="1"/>
  <c r="J42" i="42"/>
  <c r="J43" i="42" s="1"/>
  <c r="J45" i="42" s="1"/>
  <c r="U46" i="42"/>
  <c r="U47" i="42" s="1"/>
  <c r="T22" i="50"/>
  <c r="T23" i="50" s="1"/>
  <c r="H22" i="50"/>
  <c r="H23" i="50" s="1"/>
  <c r="G61" i="42"/>
  <c r="I61" i="42"/>
  <c r="C22" i="50"/>
  <c r="C23" i="50" s="1"/>
  <c r="S37" i="42"/>
  <c r="K33" i="50"/>
  <c r="K34" i="50" s="1"/>
  <c r="F33" i="50"/>
  <c r="F34" i="50" s="1"/>
  <c r="O22" i="50"/>
  <c r="O23" i="50" s="1"/>
  <c r="E33" i="50"/>
  <c r="E34" i="50" s="1"/>
  <c r="L33" i="50"/>
  <c r="L34" i="50" s="1"/>
  <c r="G22" i="50"/>
  <c r="G23" i="50" s="1"/>
  <c r="C33" i="50"/>
  <c r="C34" i="50" s="1"/>
  <c r="F22" i="50"/>
  <c r="F23" i="50" s="1"/>
  <c r="J46" i="42"/>
  <c r="J47" i="42" s="1"/>
  <c r="K37" i="42"/>
  <c r="V46" i="42"/>
  <c r="V47" i="42" s="1"/>
  <c r="Q61" i="42"/>
  <c r="U33" i="50"/>
  <c r="U34" i="50" s="1"/>
  <c r="J60" i="42"/>
  <c r="U42" i="42"/>
  <c r="U43" i="42" s="1"/>
  <c r="U45" i="42" s="1"/>
  <c r="Q54" i="42"/>
  <c r="Q36" i="42"/>
  <c r="Q39" i="42" s="1"/>
  <c r="V42" i="42"/>
  <c r="V43" i="42" s="1"/>
  <c r="V45" i="42" s="1"/>
  <c r="O54" i="42"/>
  <c r="O36" i="42"/>
  <c r="V60" i="42"/>
  <c r="I54" i="42"/>
  <c r="I36" i="42"/>
  <c r="X45" i="35" s="1"/>
  <c r="X48" i="35" s="1"/>
  <c r="N33" i="50"/>
  <c r="N34" i="50" s="1"/>
  <c r="P54" i="42"/>
  <c r="P36" i="42"/>
  <c r="N54" i="42"/>
  <c r="N36" i="42"/>
  <c r="AC45" i="35" s="1"/>
  <c r="AC48" i="35" s="1"/>
  <c r="X56" i="42"/>
  <c r="X37" i="42"/>
  <c r="Y54" i="42"/>
  <c r="Y36" i="42"/>
  <c r="Y39" i="42" s="1"/>
  <c r="R22" i="50"/>
  <c r="R23" i="50" s="1"/>
  <c r="R54" i="42"/>
  <c r="R36" i="42"/>
  <c r="R39" i="42" s="1"/>
  <c r="H54" i="42"/>
  <c r="H36" i="42"/>
  <c r="M54" i="42"/>
  <c r="M36" i="42"/>
  <c r="AB45" i="35" s="1"/>
  <c r="AB48" i="35" s="1"/>
  <c r="W54" i="42"/>
  <c r="W36" i="42"/>
  <c r="W39" i="42" s="1"/>
  <c r="H56" i="42"/>
  <c r="H37" i="42"/>
  <c r="L56" i="42"/>
  <c r="L37" i="42"/>
  <c r="T54" i="42"/>
  <c r="T36" i="42"/>
  <c r="T39" i="42" s="1"/>
  <c r="N25" i="30"/>
  <c r="J33" i="50"/>
  <c r="J34" i="50" s="1"/>
  <c r="S33" i="50"/>
  <c r="S34" i="50" s="1"/>
  <c r="C30" i="19"/>
  <c r="AP132" i="35"/>
  <c r="AQ132" i="35"/>
  <c r="C2" i="35"/>
  <c r="O4" i="35"/>
  <c r="N29" i="30" l="1"/>
  <c r="N31" i="30"/>
  <c r="N33" i="30"/>
  <c r="N35" i="30"/>
  <c r="N28" i="30"/>
  <c r="N30" i="30"/>
  <c r="N32" i="30"/>
  <c r="N34" i="30"/>
  <c r="M29" i="30"/>
  <c r="M31" i="30"/>
  <c r="M33" i="30"/>
  <c r="M35" i="30"/>
  <c r="M28" i="30"/>
  <c r="M30" i="30"/>
  <c r="M32" i="30"/>
  <c r="M34" i="30"/>
  <c r="X46" i="35"/>
  <c r="X49" i="35" s="1"/>
  <c r="AB46" i="35"/>
  <c r="AB49" i="35" s="1"/>
  <c r="AC46" i="35"/>
  <c r="AC49" i="35" s="1"/>
  <c r="AE45" i="35"/>
  <c r="AE46" i="35" s="1"/>
  <c r="H39" i="42"/>
  <c r="W45" i="35"/>
  <c r="AF44" i="35"/>
  <c r="O39" i="42"/>
  <c r="AD45" i="35"/>
  <c r="J64" i="42"/>
  <c r="V64" i="42"/>
  <c r="U64" i="42"/>
  <c r="D33" i="50"/>
  <c r="D34" i="50" s="1"/>
  <c r="H40" i="42"/>
  <c r="T33" i="50"/>
  <c r="T34" i="50" s="1"/>
  <c r="X40" i="42"/>
  <c r="K46" i="42"/>
  <c r="K47" i="42" s="1"/>
  <c r="K40" i="42"/>
  <c r="N46" i="42"/>
  <c r="N47" i="42" s="1"/>
  <c r="N39" i="42"/>
  <c r="I22" i="50"/>
  <c r="I23" i="50" s="1"/>
  <c r="M39" i="42"/>
  <c r="L22" i="50"/>
  <c r="L23" i="50" s="1"/>
  <c r="P39" i="42"/>
  <c r="S42" i="42"/>
  <c r="S43" i="42" s="1"/>
  <c r="S45" i="42" s="1"/>
  <c r="S40" i="42"/>
  <c r="H33" i="50"/>
  <c r="H34" i="50" s="1"/>
  <c r="L40" i="42"/>
  <c r="I46" i="42"/>
  <c r="I47" i="42" s="1"/>
  <c r="I39" i="42"/>
  <c r="G64" i="42"/>
  <c r="P22" i="50"/>
  <c r="P23" i="50" s="1"/>
  <c r="S46" i="42"/>
  <c r="S47" i="42" s="1"/>
  <c r="S61" i="42"/>
  <c r="S64" i="42" s="1"/>
  <c r="H61" i="42"/>
  <c r="O33" i="50"/>
  <c r="O34" i="50" s="1"/>
  <c r="D22" i="50"/>
  <c r="D23" i="50" s="1"/>
  <c r="W46" i="42"/>
  <c r="W47" i="42" s="1"/>
  <c r="H46" i="42"/>
  <c r="H47" i="42" s="1"/>
  <c r="K61" i="42"/>
  <c r="K64" i="42" s="1"/>
  <c r="G33" i="50"/>
  <c r="G34" i="50" s="1"/>
  <c r="K42" i="42"/>
  <c r="K43" i="42" s="1"/>
  <c r="K45" i="42" s="1"/>
  <c r="T46" i="42"/>
  <c r="T47" i="42" s="1"/>
  <c r="S22" i="50"/>
  <c r="S23" i="50" s="1"/>
  <c r="I60" i="42"/>
  <c r="I64" i="42" s="1"/>
  <c r="I42" i="42"/>
  <c r="I43" i="42" s="1"/>
  <c r="I45" i="42" s="1"/>
  <c r="R42" i="42"/>
  <c r="R43" i="42" s="1"/>
  <c r="R45" i="42" s="1"/>
  <c r="R60" i="42"/>
  <c r="R64" i="42" s="1"/>
  <c r="N22" i="50"/>
  <c r="N23" i="50" s="1"/>
  <c r="Y42" i="42"/>
  <c r="Y43" i="42" s="1"/>
  <c r="Y45" i="42" s="1"/>
  <c r="Y60" i="42"/>
  <c r="Y64" i="42" s="1"/>
  <c r="L61" i="42"/>
  <c r="L64" i="42" s="1"/>
  <c r="L42" i="42"/>
  <c r="L43" i="42" s="1"/>
  <c r="L45" i="42" s="1"/>
  <c r="L46" i="42"/>
  <c r="L47" i="42" s="1"/>
  <c r="X61" i="42"/>
  <c r="X64" i="42" s="1"/>
  <c r="X42" i="42"/>
  <c r="X43" i="42" s="1"/>
  <c r="X45" i="42" s="1"/>
  <c r="W42" i="42"/>
  <c r="W43" i="42" s="1"/>
  <c r="W45" i="42" s="1"/>
  <c r="W60" i="42"/>
  <c r="W64" i="42" s="1"/>
  <c r="O42" i="42"/>
  <c r="O43" i="42" s="1"/>
  <c r="O45" i="42" s="1"/>
  <c r="O60" i="42"/>
  <c r="O64" i="42" s="1"/>
  <c r="N42" i="42"/>
  <c r="N43" i="42" s="1"/>
  <c r="N45" i="42" s="1"/>
  <c r="N60" i="42"/>
  <c r="N64" i="42" s="1"/>
  <c r="O46" i="42"/>
  <c r="O47" i="42" s="1"/>
  <c r="M42" i="42"/>
  <c r="M43" i="42" s="1"/>
  <c r="M45" i="42" s="1"/>
  <c r="M60" i="42"/>
  <c r="M64" i="42" s="1"/>
  <c r="P42" i="42"/>
  <c r="P43" i="42" s="1"/>
  <c r="P45" i="42" s="1"/>
  <c r="P60" i="42"/>
  <c r="P64" i="42" s="1"/>
  <c r="Q60" i="42"/>
  <c r="Q64" i="42" s="1"/>
  <c r="Q42" i="42"/>
  <c r="Q43" i="42" s="1"/>
  <c r="Q45" i="42" s="1"/>
  <c r="M22" i="50"/>
  <c r="M23" i="50" s="1"/>
  <c r="M10" i="35" s="1"/>
  <c r="K22" i="50"/>
  <c r="K23" i="50" s="1"/>
  <c r="T60" i="42"/>
  <c r="T64" i="42" s="1"/>
  <c r="T42" i="42"/>
  <c r="T43" i="42" s="1"/>
  <c r="T45" i="42" s="1"/>
  <c r="H60" i="42"/>
  <c r="H42" i="42"/>
  <c r="H43" i="42" s="1"/>
  <c r="H45" i="42" s="1"/>
  <c r="J22" i="50"/>
  <c r="J23" i="50" s="1"/>
  <c r="X46" i="42"/>
  <c r="X47" i="42" s="1"/>
  <c r="M46" i="42"/>
  <c r="M47" i="42" s="1"/>
  <c r="Q46" i="42"/>
  <c r="Q47" i="42" s="1"/>
  <c r="R46" i="42"/>
  <c r="R47" i="42" s="1"/>
  <c r="U22" i="50"/>
  <c r="U23" i="50" s="1"/>
  <c r="Y46" i="42"/>
  <c r="Y47" i="42" s="1"/>
  <c r="E22" i="50"/>
  <c r="E23" i="50" s="1"/>
  <c r="P46" i="42"/>
  <c r="P47" i="42" s="1"/>
  <c r="D34" i="40"/>
  <c r="D6" i="40"/>
  <c r="D7" i="40"/>
  <c r="D8" i="40"/>
  <c r="D9" i="40"/>
  <c r="D10" i="40"/>
  <c r="D11" i="40"/>
  <c r="D12" i="40"/>
  <c r="D13" i="40"/>
  <c r="D14" i="40"/>
  <c r="D15" i="40"/>
  <c r="D16" i="40"/>
  <c r="D17" i="40"/>
  <c r="D18" i="40"/>
  <c r="D19" i="40"/>
  <c r="D20" i="40"/>
  <c r="D21" i="40"/>
  <c r="D22" i="40"/>
  <c r="D23" i="40"/>
  <c r="D24" i="40"/>
  <c r="D25" i="40"/>
  <c r="D26" i="40"/>
  <c r="D27" i="40"/>
  <c r="D28" i="40"/>
  <c r="D29" i="40"/>
  <c r="D30" i="40"/>
  <c r="D31" i="40"/>
  <c r="D32" i="40"/>
  <c r="D33"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4" i="40"/>
  <c r="D5" i="40"/>
  <c r="AD48" i="35" l="1"/>
  <c r="AD46" i="35"/>
  <c r="AD49" i="35" s="1"/>
  <c r="W48" i="35"/>
  <c r="W46" i="35"/>
  <c r="W49" i="35" s="1"/>
  <c r="AE49" i="35"/>
  <c r="AF46" i="35"/>
  <c r="AG46" i="35" s="1"/>
  <c r="AF45" i="35"/>
  <c r="AG45" i="35" s="1"/>
  <c r="AE48" i="35"/>
  <c r="H64" i="42"/>
  <c r="F80" i="25" l="1"/>
  <c r="F81" i="25"/>
  <c r="L32" i="25"/>
  <c r="I32" i="25"/>
  <c r="J32" i="25"/>
  <c r="K32" i="25"/>
  <c r="F69" i="25"/>
  <c r="B2" i="18" l="1"/>
  <c r="I31" i="25" l="1"/>
  <c r="J31" i="25"/>
  <c r="K31" i="25"/>
  <c r="F42" i="25"/>
  <c r="B35" i="18" l="1"/>
  <c r="B24" i="18"/>
  <c r="F6" i="38" l="1"/>
  <c r="F1" i="44"/>
  <c r="Y51" i="42" l="1"/>
  <c r="X51" i="42"/>
  <c r="X50" i="42"/>
  <c r="W50" i="42"/>
  <c r="V50" i="42"/>
  <c r="W51" i="42"/>
  <c r="U50" i="42"/>
  <c r="V51" i="42"/>
  <c r="U51" i="42"/>
  <c r="Y50" i="42"/>
  <c r="AO10" i="35"/>
  <c r="I68" i="25"/>
  <c r="J68" i="25"/>
  <c r="K68" i="25"/>
  <c r="I69" i="25"/>
  <c r="J69" i="25"/>
  <c r="K69" i="25"/>
  <c r="I61" i="25"/>
  <c r="J61" i="25"/>
  <c r="K61" i="25"/>
  <c r="I62" i="25"/>
  <c r="J62" i="25"/>
  <c r="K62" i="25"/>
  <c r="I59" i="25"/>
  <c r="J59" i="25"/>
  <c r="K59" i="25"/>
  <c r="I53" i="25"/>
  <c r="J53" i="25"/>
  <c r="K53" i="25"/>
  <c r="I36" i="25"/>
  <c r="J36" i="25"/>
  <c r="K36" i="25"/>
  <c r="I37" i="25"/>
  <c r="J37" i="25"/>
  <c r="K37" i="25"/>
  <c r="I38" i="25"/>
  <c r="J38" i="25"/>
  <c r="K38" i="25"/>
  <c r="I39" i="25"/>
  <c r="J39" i="25"/>
  <c r="K39" i="25"/>
  <c r="I40" i="25"/>
  <c r="J40" i="25"/>
  <c r="K40" i="25"/>
  <c r="I41" i="25"/>
  <c r="J41" i="25"/>
  <c r="K41" i="25"/>
  <c r="I42" i="25"/>
  <c r="J42" i="25"/>
  <c r="K42" i="25"/>
  <c r="I43" i="25"/>
  <c r="J43" i="25"/>
  <c r="K43" i="25"/>
  <c r="I44" i="25"/>
  <c r="J44" i="25"/>
  <c r="K44" i="25"/>
  <c r="I45" i="25"/>
  <c r="J45" i="25"/>
  <c r="K45" i="25"/>
  <c r="I46" i="25"/>
  <c r="J46" i="25"/>
  <c r="K46" i="25"/>
  <c r="I47" i="25"/>
  <c r="J47" i="25"/>
  <c r="K47" i="25"/>
  <c r="I35" i="25"/>
  <c r="J35" i="25"/>
  <c r="K35" i="25"/>
  <c r="I25" i="25"/>
  <c r="J25" i="25"/>
  <c r="K25" i="25"/>
  <c r="I26" i="25"/>
  <c r="J26" i="25"/>
  <c r="K26" i="25"/>
  <c r="I27" i="25"/>
  <c r="J27" i="25"/>
  <c r="K27" i="25"/>
  <c r="I28" i="25"/>
  <c r="J28" i="25"/>
  <c r="K28" i="25"/>
  <c r="I29" i="25"/>
  <c r="J29" i="25"/>
  <c r="K29" i="25"/>
  <c r="I30" i="25"/>
  <c r="J30" i="25"/>
  <c r="K30" i="25"/>
  <c r="I4" i="25"/>
  <c r="J4" i="25"/>
  <c r="K4" i="25"/>
  <c r="I5" i="25"/>
  <c r="J5" i="25"/>
  <c r="K5" i="25"/>
  <c r="I6" i="25"/>
  <c r="J6" i="25"/>
  <c r="K6" i="25"/>
  <c r="I7" i="25"/>
  <c r="J7" i="25"/>
  <c r="K7" i="25"/>
  <c r="I8" i="25"/>
  <c r="J8" i="25"/>
  <c r="K8" i="25"/>
  <c r="I9" i="25"/>
  <c r="J9" i="25"/>
  <c r="K9" i="25"/>
  <c r="I10" i="25"/>
  <c r="J10" i="25"/>
  <c r="K10" i="25"/>
  <c r="I11" i="25"/>
  <c r="J11" i="25"/>
  <c r="K11" i="25"/>
  <c r="I12" i="25"/>
  <c r="J12" i="25"/>
  <c r="K12" i="25"/>
  <c r="I13" i="25"/>
  <c r="J13" i="25"/>
  <c r="K13" i="25"/>
  <c r="I14" i="25"/>
  <c r="J14" i="25"/>
  <c r="K14" i="25"/>
  <c r="I15" i="25"/>
  <c r="J15" i="25"/>
  <c r="K15" i="25"/>
  <c r="I16" i="25"/>
  <c r="J16" i="25"/>
  <c r="K16" i="25"/>
  <c r="F57" i="25"/>
  <c r="F58" i="25"/>
  <c r="F59" i="25"/>
  <c r="F60" i="25"/>
  <c r="F61" i="25"/>
  <c r="F62" i="25"/>
  <c r="F63" i="25"/>
  <c r="F64" i="25"/>
  <c r="F65" i="25"/>
  <c r="F66" i="25"/>
  <c r="F67" i="25"/>
  <c r="F68" i="25"/>
  <c r="F70" i="25"/>
  <c r="F71" i="25"/>
  <c r="F72" i="25"/>
  <c r="F73" i="25"/>
  <c r="F74" i="25"/>
  <c r="F75" i="25"/>
  <c r="F76" i="25"/>
  <c r="F77" i="25"/>
  <c r="F78" i="25"/>
  <c r="F79" i="25"/>
  <c r="F82" i="25"/>
  <c r="F83" i="25"/>
  <c r="F84" i="25"/>
  <c r="F85" i="25"/>
  <c r="F86" i="25"/>
  <c r="F87" i="25"/>
  <c r="F88" i="25"/>
  <c r="F89" i="25"/>
  <c r="F90" i="25"/>
  <c r="F91" i="25"/>
  <c r="F92" i="25"/>
  <c r="F93" i="25"/>
  <c r="F37" i="25"/>
  <c r="F38" i="25"/>
  <c r="F39" i="25"/>
  <c r="F40" i="25"/>
  <c r="F11" i="25"/>
  <c r="F5" i="25"/>
  <c r="F6" i="25"/>
  <c r="F7" i="25"/>
  <c r="F8" i="25"/>
  <c r="F9" i="25"/>
  <c r="F10"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41" i="25"/>
  <c r="F43" i="25"/>
  <c r="F44" i="25"/>
  <c r="F45" i="25"/>
  <c r="F46" i="25"/>
  <c r="F47" i="25"/>
  <c r="F48" i="25"/>
  <c r="F49" i="25"/>
  <c r="F50" i="25"/>
  <c r="F51" i="25"/>
  <c r="F52" i="25"/>
  <c r="F53" i="25"/>
  <c r="F54" i="25"/>
  <c r="F55" i="25"/>
  <c r="F56" i="25"/>
  <c r="F94" i="25"/>
  <c r="F95" i="25"/>
  <c r="F4" i="25"/>
  <c r="H15" i="26"/>
  <c r="H6" i="26"/>
  <c r="H7" i="26"/>
  <c r="H8" i="26"/>
  <c r="H9" i="26"/>
  <c r="H10" i="26"/>
  <c r="H11" i="26"/>
  <c r="H12" i="26"/>
  <c r="H13" i="26"/>
  <c r="H14" i="26"/>
  <c r="H16" i="26"/>
  <c r="E110" i="49" s="1"/>
  <c r="D7" i="30" s="1"/>
  <c r="H17" i="26"/>
  <c r="H18" i="26"/>
  <c r="H19" i="26"/>
  <c r="H20" i="26"/>
  <c r="H21" i="26"/>
  <c r="H22" i="26"/>
  <c r="H23" i="26"/>
  <c r="H5" i="26"/>
  <c r="U26" i="35"/>
  <c r="U25" i="35"/>
  <c r="D9" i="18"/>
  <c r="D4" i="30" s="1"/>
  <c r="A4" i="26"/>
  <c r="A3" i="26"/>
  <c r="H2" i="26"/>
  <c r="G2" i="26"/>
  <c r="D2" i="26"/>
  <c r="C145" i="30" s="1"/>
  <c r="C2" i="26"/>
  <c r="C146" i="30" s="1"/>
  <c r="B2" i="26"/>
  <c r="C144" i="30" s="1"/>
  <c r="A2" i="26"/>
  <c r="N7" i="18"/>
  <c r="N5" i="18"/>
  <c r="C25" i="30"/>
  <c r="E25" i="42"/>
  <c r="E24" i="42"/>
  <c r="E23" i="42"/>
  <c r="E22" i="42"/>
  <c r="E11" i="42"/>
  <c r="E10" i="42"/>
  <c r="E9" i="42"/>
  <c r="E8" i="42"/>
  <c r="C37" i="19"/>
  <c r="C32" i="19"/>
  <c r="B23" i="38"/>
  <c r="B22" i="38"/>
  <c r="E132" i="35"/>
  <c r="C15" i="35"/>
  <c r="M12" i="35"/>
  <c r="AP79" i="35"/>
  <c r="C78" i="35" s="1"/>
  <c r="J70" i="35"/>
  <c r="C70" i="35"/>
  <c r="C68" i="35"/>
  <c r="V24" i="35"/>
  <c r="V43" i="35" s="1"/>
  <c r="D21" i="38"/>
  <c r="L6" i="38"/>
  <c r="K14" i="38"/>
  <c r="AE5" i="38"/>
  <c r="AB5" i="38"/>
  <c r="T23" i="35" s="1"/>
  <c r="L3" i="25"/>
  <c r="L4" i="25"/>
  <c r="L73" i="25"/>
  <c r="L72" i="25"/>
  <c r="L71" i="25"/>
  <c r="L70" i="25"/>
  <c r="L69" i="25"/>
  <c r="L68" i="25"/>
  <c r="L67" i="25"/>
  <c r="L66" i="25"/>
  <c r="L65" i="25"/>
  <c r="L64" i="25"/>
  <c r="L63" i="25"/>
  <c r="L62"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6" i="25"/>
  <c r="L5" i="25"/>
  <c r="K3" i="25"/>
  <c r="J3" i="25"/>
  <c r="I3" i="25"/>
  <c r="J23" i="25"/>
  <c r="I23" i="25"/>
  <c r="K75" i="37"/>
  <c r="K74" i="37"/>
  <c r="K73" i="37"/>
  <c r="K72" i="37"/>
  <c r="K71" i="37"/>
  <c r="K70" i="37"/>
  <c r="K69" i="37"/>
  <c r="K68" i="37"/>
  <c r="K67" i="37"/>
  <c r="K66" i="37"/>
  <c r="K65" i="37"/>
  <c r="K64" i="37"/>
  <c r="K63" i="37"/>
  <c r="K62" i="37"/>
  <c r="K61" i="37"/>
  <c r="K60" i="37"/>
  <c r="K59" i="37"/>
  <c r="K58" i="37"/>
  <c r="K57" i="37"/>
  <c r="K56" i="37"/>
  <c r="K55" i="37"/>
  <c r="K54" i="37"/>
  <c r="K53" i="37"/>
  <c r="K52" i="37"/>
  <c r="K51" i="37"/>
  <c r="K50" i="37"/>
  <c r="K49" i="37"/>
  <c r="K48" i="37"/>
  <c r="K47" i="37"/>
  <c r="K46" i="37"/>
  <c r="K45" i="37"/>
  <c r="K44" i="37"/>
  <c r="K43" i="37"/>
  <c r="K42" i="37"/>
  <c r="K41" i="37"/>
  <c r="K40" i="37"/>
  <c r="K39" i="37"/>
  <c r="K38" i="37"/>
  <c r="K37" i="37"/>
  <c r="K36" i="37"/>
  <c r="K35" i="37"/>
  <c r="K34" i="37"/>
  <c r="K33" i="37"/>
  <c r="K32" i="37"/>
  <c r="K31" i="37"/>
  <c r="K30" i="37"/>
  <c r="K29" i="37"/>
  <c r="K28" i="37"/>
  <c r="K27" i="37"/>
  <c r="K26" i="37"/>
  <c r="K25" i="37"/>
  <c r="K24" i="37"/>
  <c r="K23" i="37"/>
  <c r="K22" i="37"/>
  <c r="K21" i="37"/>
  <c r="K20" i="37"/>
  <c r="K19" i="37"/>
  <c r="K18" i="37"/>
  <c r="K17" i="37"/>
  <c r="K16" i="37"/>
  <c r="K15" i="37"/>
  <c r="K14" i="37"/>
  <c r="K13" i="37"/>
  <c r="K12" i="37"/>
  <c r="K11" i="37"/>
  <c r="K10" i="37"/>
  <c r="K9" i="37"/>
  <c r="K8" i="37"/>
  <c r="K7" i="37"/>
  <c r="K6" i="37"/>
  <c r="K73" i="25"/>
  <c r="J73" i="25"/>
  <c r="I73" i="25"/>
  <c r="K72" i="25"/>
  <c r="J72" i="25"/>
  <c r="I72" i="25"/>
  <c r="K71" i="25"/>
  <c r="J71" i="25"/>
  <c r="I71" i="25"/>
  <c r="K67" i="25"/>
  <c r="J67" i="25"/>
  <c r="I67" i="25"/>
  <c r="K66" i="25"/>
  <c r="J66" i="25"/>
  <c r="I66" i="25"/>
  <c r="K65" i="25"/>
  <c r="J65" i="25"/>
  <c r="I65" i="25"/>
  <c r="K64" i="25"/>
  <c r="J64" i="25"/>
  <c r="I64" i="25"/>
  <c r="K63" i="25"/>
  <c r="J63" i="25"/>
  <c r="I63" i="25"/>
  <c r="K58" i="25"/>
  <c r="J58" i="25"/>
  <c r="I58" i="25"/>
  <c r="K55" i="25"/>
  <c r="E44" i="49" s="1"/>
  <c r="J55" i="25"/>
  <c r="E42" i="49" s="1"/>
  <c r="E115" i="49" s="1"/>
  <c r="D12" i="30" s="1"/>
  <c r="I55" i="25"/>
  <c r="E41" i="49" s="1"/>
  <c r="E114" i="49" s="1"/>
  <c r="D11" i="30" s="1"/>
  <c r="K54" i="25"/>
  <c r="J54" i="25"/>
  <c r="I54" i="25"/>
  <c r="K52" i="25"/>
  <c r="J52" i="25"/>
  <c r="I52" i="25"/>
  <c r="K51" i="25"/>
  <c r="J51" i="25"/>
  <c r="I51" i="25"/>
  <c r="K49" i="25"/>
  <c r="J49" i="25"/>
  <c r="I49" i="25"/>
  <c r="K48" i="25"/>
  <c r="J48" i="25"/>
  <c r="I48" i="25"/>
  <c r="K34" i="25"/>
  <c r="J34" i="25"/>
  <c r="I34" i="25"/>
  <c r="K33" i="25"/>
  <c r="J33" i="25"/>
  <c r="I33" i="25"/>
  <c r="K24" i="25"/>
  <c r="J24" i="25"/>
  <c r="I24" i="25"/>
  <c r="K22" i="25"/>
  <c r="J22" i="25"/>
  <c r="I22" i="25"/>
  <c r="K21" i="25"/>
  <c r="J21" i="25"/>
  <c r="I21" i="25"/>
  <c r="K20" i="25"/>
  <c r="J20" i="25"/>
  <c r="I20" i="25"/>
  <c r="K19" i="25"/>
  <c r="J19" i="25"/>
  <c r="I19" i="25"/>
  <c r="C9" i="27"/>
  <c r="A9" i="27"/>
  <c r="C7" i="27"/>
  <c r="C6" i="27"/>
  <c r="A6" i="27"/>
  <c r="C4" i="27"/>
  <c r="C3" i="27"/>
  <c r="A3" i="27"/>
  <c r="C2" i="27"/>
  <c r="B2" i="27"/>
  <c r="A2" i="27"/>
  <c r="F91" i="35"/>
  <c r="C89" i="35"/>
  <c r="F85" i="35"/>
  <c r="C82" i="35"/>
  <c r="U84" i="35"/>
  <c r="K43" i="35"/>
  <c r="V30" i="35"/>
  <c r="S4" i="35"/>
  <c r="I32" i="38"/>
  <c r="X18" i="38"/>
  <c r="W18" i="38"/>
  <c r="D15" i="38"/>
  <c r="D14" i="38"/>
  <c r="AE6" i="38"/>
  <c r="AB6" i="38"/>
  <c r="O6" i="38"/>
  <c r="I6" i="38"/>
  <c r="C6" i="38"/>
  <c r="B5" i="38"/>
  <c r="B4" i="38"/>
  <c r="B2" i="38"/>
  <c r="C29" i="19"/>
  <c r="C27" i="19"/>
  <c r="C26" i="19"/>
  <c r="C25" i="19"/>
  <c r="U87" i="35" s="1"/>
  <c r="C24" i="19"/>
  <c r="C23" i="19"/>
  <c r="U86" i="35" s="1"/>
  <c r="C22" i="19"/>
  <c r="C21" i="19"/>
  <c r="U85" i="35" s="1"/>
  <c r="C19" i="19"/>
  <c r="C18" i="19"/>
  <c r="C17" i="19"/>
  <c r="C16" i="19"/>
  <c r="C14" i="19"/>
  <c r="C12" i="19"/>
  <c r="C11" i="19"/>
  <c r="C10" i="19"/>
  <c r="C9" i="19"/>
  <c r="B6" i="19"/>
  <c r="B5" i="19"/>
  <c r="C4" i="19"/>
  <c r="B4" i="19"/>
  <c r="B3" i="19"/>
  <c r="B2" i="19"/>
  <c r="C115" i="30"/>
  <c r="C104" i="30"/>
  <c r="C93" i="30"/>
  <c r="C82" i="30"/>
  <c r="C71" i="30"/>
  <c r="C60" i="30"/>
  <c r="C49" i="30"/>
  <c r="C38" i="30"/>
  <c r="C27" i="30"/>
  <c r="C24" i="30"/>
  <c r="C23" i="30"/>
  <c r="C22" i="30"/>
  <c r="B20" i="30"/>
  <c r="E16" i="30"/>
  <c r="C16" i="30"/>
  <c r="E15" i="30"/>
  <c r="C15" i="30"/>
  <c r="E14" i="30"/>
  <c r="C14" i="30"/>
  <c r="E12" i="30"/>
  <c r="C12" i="30"/>
  <c r="E11" i="30"/>
  <c r="C11" i="30"/>
  <c r="C10" i="30"/>
  <c r="E9" i="30"/>
  <c r="C9" i="30"/>
  <c r="E8" i="30"/>
  <c r="C8" i="30"/>
  <c r="E7" i="30"/>
  <c r="C7" i="30"/>
  <c r="E6" i="30"/>
  <c r="C6" i="30"/>
  <c r="E5" i="30"/>
  <c r="C5" i="30"/>
  <c r="C4" i="30"/>
  <c r="B2" i="30"/>
  <c r="L15" i="18"/>
  <c r="D15" i="18"/>
  <c r="B11" i="18"/>
  <c r="J9" i="18"/>
  <c r="C9" i="18"/>
  <c r="C7" i="18"/>
  <c r="AQ6" i="18"/>
  <c r="AN6" i="18"/>
  <c r="AQ5" i="18"/>
  <c r="AN5" i="18"/>
  <c r="C5" i="18"/>
  <c r="U52" i="35" l="1"/>
  <c r="C46" i="35"/>
  <c r="U54" i="35"/>
  <c r="U53" i="35"/>
  <c r="N7" i="38"/>
  <c r="M7" i="38"/>
  <c r="Q7" i="38"/>
  <c r="P7" i="38"/>
  <c r="T53" i="35"/>
  <c r="T54" i="35"/>
  <c r="T52" i="35"/>
  <c r="D24" i="38"/>
  <c r="F61" i="50"/>
  <c r="E40" i="19"/>
  <c r="P49" i="42"/>
  <c r="T51" i="42"/>
  <c r="U39" i="35"/>
  <c r="AO41" i="35" s="1"/>
  <c r="K51" i="42"/>
  <c r="S51" i="42"/>
  <c r="L51" i="42"/>
  <c r="R51" i="42"/>
  <c r="P51" i="42"/>
  <c r="Q51" i="42"/>
  <c r="Q49" i="42"/>
  <c r="R50" i="42"/>
  <c r="H51" i="42"/>
  <c r="X15" i="19"/>
  <c r="W15" i="19"/>
  <c r="G50" i="42"/>
  <c r="W13" i="19"/>
  <c r="X13" i="19"/>
  <c r="E38" i="19"/>
  <c r="L24" i="30"/>
  <c r="K46" i="50" s="1"/>
  <c r="D111" i="25"/>
  <c r="C107" i="25"/>
  <c r="I18" i="25" s="1"/>
  <c r="T49" i="42"/>
  <c r="U49" i="42"/>
  <c r="Y49" i="42"/>
  <c r="V49" i="42"/>
  <c r="W49" i="42"/>
  <c r="X49" i="42"/>
  <c r="M49" i="42"/>
  <c r="L49" i="42"/>
  <c r="R49" i="42"/>
  <c r="Q11" i="19" s="1"/>
  <c r="S49" i="42"/>
  <c r="N49" i="42"/>
  <c r="O49" i="42"/>
  <c r="Q50" i="42"/>
  <c r="I50" i="42"/>
  <c r="V52" i="42"/>
  <c r="U52" i="42"/>
  <c r="W52" i="42"/>
  <c r="X52" i="42"/>
  <c r="Y52" i="42"/>
  <c r="T52" i="42"/>
  <c r="N50" i="42"/>
  <c r="N51" i="42"/>
  <c r="J50" i="42"/>
  <c r="K50" i="42"/>
  <c r="G52" i="42"/>
  <c r="J52" i="42"/>
  <c r="J51" i="42"/>
  <c r="O51" i="42"/>
  <c r="P52" i="42"/>
  <c r="M52" i="42"/>
  <c r="T50" i="42"/>
  <c r="P50" i="42"/>
  <c r="I52" i="42"/>
  <c r="Y15" i="38"/>
  <c r="M50" i="42"/>
  <c r="J49" i="42"/>
  <c r="I49" i="42"/>
  <c r="K49" i="42"/>
  <c r="H49" i="42"/>
  <c r="E43" i="19"/>
  <c r="E39" i="19"/>
  <c r="E42" i="19"/>
  <c r="I51" i="42"/>
  <c r="L50" i="42"/>
  <c r="H50" i="42"/>
  <c r="E41" i="19"/>
  <c r="M51" i="42"/>
  <c r="S50" i="42"/>
  <c r="O50" i="42"/>
  <c r="E50" i="42"/>
  <c r="W24" i="35"/>
  <c r="W43" i="35" s="1"/>
  <c r="E21" i="38"/>
  <c r="G51" i="42"/>
  <c r="E51" i="42"/>
  <c r="C112" i="25"/>
  <c r="I60" i="25" s="1"/>
  <c r="C108" i="25"/>
  <c r="I56" i="25" s="1"/>
  <c r="D109" i="25"/>
  <c r="D112" i="25"/>
  <c r="J60" i="25" s="1"/>
  <c r="D107" i="25"/>
  <c r="J18" i="25" s="1"/>
  <c r="D108" i="25"/>
  <c r="J56" i="25" s="1"/>
  <c r="C110" i="25"/>
  <c r="I57" i="25" s="1"/>
  <c r="C111" i="25"/>
  <c r="D110" i="25"/>
  <c r="J57" i="25" s="1"/>
  <c r="C109" i="25"/>
  <c r="S52" i="42"/>
  <c r="O52" i="42"/>
  <c r="K52" i="42"/>
  <c r="R52" i="42"/>
  <c r="L52" i="42"/>
  <c r="H52" i="42"/>
  <c r="N52" i="42"/>
  <c r="Z15" i="38"/>
  <c r="Q52" i="42"/>
  <c r="C15" i="19" l="1"/>
  <c r="D23" i="38"/>
  <c r="W25" i="35" s="1"/>
  <c r="V12" i="38"/>
  <c r="W12" i="38" s="1"/>
  <c r="C23" i="38"/>
  <c r="V26" i="35" s="1"/>
  <c r="C13" i="19"/>
  <c r="X19" i="38"/>
  <c r="T27" i="35"/>
  <c r="V27" i="35" s="1"/>
  <c r="T25" i="35"/>
  <c r="T28" i="35"/>
  <c r="V28" i="35" s="1"/>
  <c r="W19" i="38"/>
  <c r="X23" i="38"/>
  <c r="AQ22" i="35" s="1"/>
  <c r="AN52" i="35"/>
  <c r="Y52" i="35"/>
  <c r="Z52" i="35"/>
  <c r="AA52" i="35"/>
  <c r="AB52" i="35"/>
  <c r="AE52" i="35"/>
  <c r="AC52" i="35"/>
  <c r="AD52" i="35"/>
  <c r="AK52" i="35"/>
  <c r="AL52" i="35"/>
  <c r="AM52" i="35"/>
  <c r="AH52" i="35"/>
  <c r="AI52" i="35"/>
  <c r="AG52" i="35"/>
  <c r="AJ52" i="35"/>
  <c r="X52" i="35"/>
  <c r="W52" i="35"/>
  <c r="V52" i="35"/>
  <c r="AF52" i="35"/>
  <c r="AG54" i="35"/>
  <c r="AL54" i="35"/>
  <c r="W54" i="35"/>
  <c r="AM54" i="35"/>
  <c r="Y54" i="35"/>
  <c r="AN54" i="35"/>
  <c r="AK54" i="35"/>
  <c r="Z54" i="35"/>
  <c r="V54" i="35"/>
  <c r="AA54" i="35"/>
  <c r="AB54" i="35"/>
  <c r="AC54" i="35"/>
  <c r="AI54" i="35"/>
  <c r="AD54" i="35"/>
  <c r="AE54" i="35"/>
  <c r="AF54" i="35"/>
  <c r="AJ54" i="35"/>
  <c r="AH54" i="35"/>
  <c r="X54" i="35"/>
  <c r="AA53" i="35"/>
  <c r="W53" i="35"/>
  <c r="AL53" i="35"/>
  <c r="X53" i="35"/>
  <c r="AJ53" i="35"/>
  <c r="Y53" i="35"/>
  <c r="Z53" i="35"/>
  <c r="AK53" i="35"/>
  <c r="AC53" i="35"/>
  <c r="V53" i="35"/>
  <c r="AE53" i="35"/>
  <c r="AF53" i="35"/>
  <c r="AG53" i="35"/>
  <c r="AH53" i="35"/>
  <c r="AI53" i="35"/>
  <c r="AB53" i="35"/>
  <c r="AD53" i="35"/>
  <c r="AM53" i="35"/>
  <c r="AN53" i="35"/>
  <c r="E24" i="38"/>
  <c r="E23" i="38"/>
  <c r="X25" i="35" s="1"/>
  <c r="M17" i="19"/>
  <c r="T24" i="30"/>
  <c r="S46" i="50" s="1"/>
  <c r="S24" i="30"/>
  <c r="R46" i="50" s="1"/>
  <c r="R24" i="30"/>
  <c r="Q46" i="50" s="1"/>
  <c r="U24" i="30"/>
  <c r="T46" i="50" s="1"/>
  <c r="V24" i="30"/>
  <c r="U46" i="50" s="1"/>
  <c r="M24" i="30"/>
  <c r="N17" i="19" s="1"/>
  <c r="O24" i="30"/>
  <c r="N46" i="50" s="1"/>
  <c r="N24" i="30"/>
  <c r="P24" i="30"/>
  <c r="O46" i="50" s="1"/>
  <c r="Q24" i="30"/>
  <c r="P46" i="50" s="1"/>
  <c r="L23" i="30"/>
  <c r="K24" i="30"/>
  <c r="J46" i="50" s="1"/>
  <c r="D24" i="30"/>
  <c r="C46" i="50" s="1"/>
  <c r="J24" i="30"/>
  <c r="I46" i="50" s="1"/>
  <c r="I15" i="38"/>
  <c r="H24" i="30"/>
  <c r="G46" i="50" s="1"/>
  <c r="I24" i="30"/>
  <c r="H46" i="50" s="1"/>
  <c r="G24" i="30"/>
  <c r="F46" i="50" s="1"/>
  <c r="F24" i="30"/>
  <c r="E46" i="50" s="1"/>
  <c r="E24" i="30"/>
  <c r="D46" i="50" s="1"/>
  <c r="R11" i="19"/>
  <c r="P11" i="19"/>
  <c r="X12" i="38"/>
  <c r="K15" i="38"/>
  <c r="I50" i="25"/>
  <c r="R19" i="19"/>
  <c r="J17" i="25"/>
  <c r="H43" i="35"/>
  <c r="X24" i="35"/>
  <c r="X43" i="35" s="1"/>
  <c r="F21" i="38"/>
  <c r="F23" i="38" s="1"/>
  <c r="J70" i="25"/>
  <c r="P19" i="19"/>
  <c r="I70" i="25"/>
  <c r="J50" i="25"/>
  <c r="I17" i="25"/>
  <c r="M46" i="50" l="1"/>
  <c r="O17" i="19"/>
  <c r="W28" i="35"/>
  <c r="B19" i="38"/>
  <c r="V25" i="35"/>
  <c r="W27" i="35"/>
  <c r="X28" i="35"/>
  <c r="X27" i="35"/>
  <c r="L46" i="50"/>
  <c r="Y25" i="35"/>
  <c r="F24" i="38"/>
  <c r="S23" i="30"/>
  <c r="O23" i="30"/>
  <c r="N23" i="30"/>
  <c r="M23" i="30"/>
  <c r="U23" i="30"/>
  <c r="V23" i="30"/>
  <c r="R23" i="30"/>
  <c r="Q23" i="30"/>
  <c r="P23" i="30"/>
  <c r="T23" i="30"/>
  <c r="K17" i="19"/>
  <c r="H17" i="19"/>
  <c r="I17" i="19"/>
  <c r="S39" i="30"/>
  <c r="S50" i="30"/>
  <c r="S36" i="30"/>
  <c r="N53" i="30"/>
  <c r="N42" i="30"/>
  <c r="Q53" i="30"/>
  <c r="Q42" i="30"/>
  <c r="R44" i="30"/>
  <c r="R55" i="30"/>
  <c r="V55" i="30"/>
  <c r="V44" i="30"/>
  <c r="S57" i="30"/>
  <c r="S46" i="30"/>
  <c r="T56" i="30"/>
  <c r="T45" i="30"/>
  <c r="P56" i="30"/>
  <c r="P45" i="30"/>
  <c r="N55" i="30"/>
  <c r="N44" i="30"/>
  <c r="P55" i="30"/>
  <c r="P44" i="30"/>
  <c r="T52" i="30"/>
  <c r="T41" i="30"/>
  <c r="Q19" i="19"/>
  <c r="Q51" i="30"/>
  <c r="Q40" i="30"/>
  <c r="R36" i="30"/>
  <c r="R39" i="30"/>
  <c r="R50" i="30"/>
  <c r="V53" i="30"/>
  <c r="V42" i="30"/>
  <c r="S53" i="30"/>
  <c r="S42" i="30"/>
  <c r="T39" i="30"/>
  <c r="T36" i="30"/>
  <c r="T50" i="30"/>
  <c r="R45" i="30"/>
  <c r="R56" i="30"/>
  <c r="Q56" i="30"/>
  <c r="Q45" i="30"/>
  <c r="R46" i="30"/>
  <c r="R57" i="30"/>
  <c r="V40" i="30"/>
  <c r="V51" i="30"/>
  <c r="S45" i="30"/>
  <c r="S56" i="30"/>
  <c r="U45" i="30"/>
  <c r="U56" i="30"/>
  <c r="R52" i="30"/>
  <c r="R41" i="30"/>
  <c r="T42" i="30"/>
  <c r="T53" i="30"/>
  <c r="S54" i="30"/>
  <c r="S43" i="30"/>
  <c r="Q52" i="30"/>
  <c r="Q41" i="30"/>
  <c r="R40" i="30"/>
  <c r="R51" i="30"/>
  <c r="V52" i="30"/>
  <c r="V41" i="30"/>
  <c r="S55" i="30"/>
  <c r="S44" i="30"/>
  <c r="U57" i="30"/>
  <c r="U46" i="30"/>
  <c r="P57" i="30"/>
  <c r="P46" i="30"/>
  <c r="Q54" i="30"/>
  <c r="Q43" i="30"/>
  <c r="V57" i="30"/>
  <c r="V46" i="30"/>
  <c r="U50" i="30"/>
  <c r="U36" i="30"/>
  <c r="U39" i="30"/>
  <c r="N50" i="30"/>
  <c r="N36" i="30"/>
  <c r="N39" i="30"/>
  <c r="P51" i="30"/>
  <c r="P40" i="30"/>
  <c r="Q55" i="30"/>
  <c r="Q44" i="30"/>
  <c r="N52" i="30"/>
  <c r="N41" i="30"/>
  <c r="V45" i="30"/>
  <c r="V56" i="30"/>
  <c r="U44" i="30"/>
  <c r="U55" i="30"/>
  <c r="P54" i="30"/>
  <c r="P43" i="30"/>
  <c r="Q57" i="30"/>
  <c r="Q46" i="30"/>
  <c r="N51" i="30"/>
  <c r="N40" i="30"/>
  <c r="V54" i="30"/>
  <c r="V43" i="30"/>
  <c r="T40" i="30"/>
  <c r="T51" i="30"/>
  <c r="U43" i="30"/>
  <c r="U54" i="30"/>
  <c r="P36" i="30"/>
  <c r="P50" i="30"/>
  <c r="P39" i="30"/>
  <c r="Q36" i="30"/>
  <c r="Q50" i="30"/>
  <c r="Q39" i="30"/>
  <c r="N54" i="30"/>
  <c r="N43" i="30"/>
  <c r="V39" i="30"/>
  <c r="V36" i="30"/>
  <c r="V50" i="30"/>
  <c r="T55" i="30"/>
  <c r="T44" i="30"/>
  <c r="U42" i="30"/>
  <c r="U53" i="30"/>
  <c r="P52" i="30"/>
  <c r="P41" i="30"/>
  <c r="R43" i="30"/>
  <c r="R54" i="30"/>
  <c r="N57" i="30"/>
  <c r="N46" i="30"/>
  <c r="S41" i="30"/>
  <c r="S52" i="30"/>
  <c r="T46" i="30"/>
  <c r="T57" i="30"/>
  <c r="U41" i="30"/>
  <c r="U52" i="30"/>
  <c r="P53" i="30"/>
  <c r="P42" i="30"/>
  <c r="R53" i="30"/>
  <c r="R42" i="30"/>
  <c r="N56" i="30"/>
  <c r="N45" i="30"/>
  <c r="S40" i="30"/>
  <c r="S51" i="30"/>
  <c r="T54" i="30"/>
  <c r="T43" i="30"/>
  <c r="U40" i="30"/>
  <c r="U51" i="30"/>
  <c r="D23" i="30"/>
  <c r="D15" i="30" s="1"/>
  <c r="E17" i="19"/>
  <c r="E23" i="30"/>
  <c r="F17" i="19"/>
  <c r="K23" i="30"/>
  <c r="L17" i="19"/>
  <c r="F23" i="30"/>
  <c r="G17" i="19"/>
  <c r="I23" i="30"/>
  <c r="J17" i="19"/>
  <c r="H23" i="30"/>
  <c r="L19" i="19"/>
  <c r="J23" i="30"/>
  <c r="H19" i="19"/>
  <c r="I19" i="19"/>
  <c r="D14" i="30"/>
  <c r="G23" i="30"/>
  <c r="J19" i="19"/>
  <c r="K19" i="19"/>
  <c r="G19" i="19"/>
  <c r="M19" i="19"/>
  <c r="AQ24" i="35"/>
  <c r="F19" i="19"/>
  <c r="B12" i="38"/>
  <c r="E19" i="19"/>
  <c r="G21" i="38"/>
  <c r="G23" i="38" s="1"/>
  <c r="Y24" i="35"/>
  <c r="Y43" i="35" s="1"/>
  <c r="AP24" i="35" l="1"/>
  <c r="L29" i="35" s="1"/>
  <c r="Y27" i="35"/>
  <c r="Y28" i="35"/>
  <c r="Z25" i="35"/>
  <c r="G24" i="38"/>
  <c r="N62" i="30"/>
  <c r="N73" i="30" s="1"/>
  <c r="N84" i="30" s="1"/>
  <c r="Q66" i="30"/>
  <c r="Q99" i="30" s="1"/>
  <c r="Q67" i="30"/>
  <c r="Q100" i="30" s="1"/>
  <c r="T64" i="30"/>
  <c r="T97" i="30" s="1"/>
  <c r="P67" i="30"/>
  <c r="P78" i="30" s="1"/>
  <c r="P89" i="30" s="1"/>
  <c r="V47" i="30"/>
  <c r="U47" i="30"/>
  <c r="R47" i="30"/>
  <c r="Q47" i="30"/>
  <c r="P47" i="30"/>
  <c r="N47" i="30"/>
  <c r="S47" i="30"/>
  <c r="T47" i="30"/>
  <c r="R64" i="30"/>
  <c r="R97" i="30" s="1"/>
  <c r="N65" i="30"/>
  <c r="N76" i="30" s="1"/>
  <c r="N87" i="30" s="1"/>
  <c r="V65" i="30"/>
  <c r="V98" i="30" s="1"/>
  <c r="N63" i="30"/>
  <c r="N96" i="30" s="1"/>
  <c r="P68" i="30"/>
  <c r="P79" i="30" s="1"/>
  <c r="P90" i="30" s="1"/>
  <c r="R68" i="30"/>
  <c r="R79" i="30" s="1"/>
  <c r="R90" i="30" s="1"/>
  <c r="N66" i="30"/>
  <c r="N99" i="30" s="1"/>
  <c r="Q64" i="30"/>
  <c r="Q75" i="30" s="1"/>
  <c r="Q86" i="30" s="1"/>
  <c r="T62" i="30"/>
  <c r="T73" i="30" s="1"/>
  <c r="T84" i="30" s="1"/>
  <c r="V67" i="30"/>
  <c r="V100" i="30" s="1"/>
  <c r="Q65" i="30"/>
  <c r="Q76" i="30" s="1"/>
  <c r="P66" i="30"/>
  <c r="P77" i="30" s="1"/>
  <c r="P88" i="30" s="1"/>
  <c r="V64" i="30"/>
  <c r="V97" i="30" s="1"/>
  <c r="S62" i="30"/>
  <c r="S73" i="30" s="1"/>
  <c r="S84" i="30" s="1"/>
  <c r="S63" i="30"/>
  <c r="S74" i="30" s="1"/>
  <c r="S85" i="30" s="1"/>
  <c r="N64" i="30"/>
  <c r="N97" i="30" s="1"/>
  <c r="Q68" i="30"/>
  <c r="Q79" i="30" s="1"/>
  <c r="Q90" i="30" s="1"/>
  <c r="P62" i="30"/>
  <c r="P73" i="30" s="1"/>
  <c r="P84" i="30" s="1"/>
  <c r="R67" i="30"/>
  <c r="R78" i="30" s="1"/>
  <c r="R89" i="30" s="1"/>
  <c r="Q62" i="30"/>
  <c r="Q73" i="30" s="1"/>
  <c r="Q84" i="30" s="1"/>
  <c r="T68" i="30"/>
  <c r="T101" i="30" s="1"/>
  <c r="V63" i="30"/>
  <c r="V96" i="30" s="1"/>
  <c r="T63" i="30"/>
  <c r="T74" i="30" s="1"/>
  <c r="T85" i="30" s="1"/>
  <c r="V66" i="30"/>
  <c r="V99" i="30" s="1"/>
  <c r="Q63" i="30"/>
  <c r="Q74" i="30" s="1"/>
  <c r="Q85" i="30" s="1"/>
  <c r="V62" i="30"/>
  <c r="V95" i="30" s="1"/>
  <c r="R66" i="30"/>
  <c r="R77" i="30" s="1"/>
  <c r="R88" i="30" s="1"/>
  <c r="V68" i="30"/>
  <c r="V101" i="30" s="1"/>
  <c r="M55" i="30"/>
  <c r="M44" i="30"/>
  <c r="T65" i="30"/>
  <c r="T66" i="30"/>
  <c r="U65" i="30"/>
  <c r="U66" i="30"/>
  <c r="N58" i="30"/>
  <c r="N61" i="30"/>
  <c r="R62" i="30"/>
  <c r="S67" i="30"/>
  <c r="V61" i="30"/>
  <c r="V58" i="30"/>
  <c r="S64" i="30"/>
  <c r="N67" i="30"/>
  <c r="N68" i="30"/>
  <c r="U58" i="30"/>
  <c r="U61" i="30"/>
  <c r="M51" i="30"/>
  <c r="M40" i="30"/>
  <c r="R65" i="30"/>
  <c r="M52" i="30"/>
  <c r="M41" i="30"/>
  <c r="S65" i="30"/>
  <c r="R58" i="30"/>
  <c r="R61" i="30"/>
  <c r="M36" i="30"/>
  <c r="M50" i="30"/>
  <c r="M39" i="30"/>
  <c r="P64" i="30"/>
  <c r="P63" i="30"/>
  <c r="Q58" i="30"/>
  <c r="Q61" i="30"/>
  <c r="M56" i="30"/>
  <c r="M45" i="30"/>
  <c r="U68" i="30"/>
  <c r="M53" i="30"/>
  <c r="M42" i="30"/>
  <c r="U62" i="30"/>
  <c r="U63" i="30"/>
  <c r="U64" i="30"/>
  <c r="M54" i="30"/>
  <c r="M43" i="30"/>
  <c r="S66" i="30"/>
  <c r="R63" i="30"/>
  <c r="T67" i="30"/>
  <c r="S61" i="30"/>
  <c r="S58" i="30"/>
  <c r="P58" i="30"/>
  <c r="P61" i="30"/>
  <c r="P65" i="30"/>
  <c r="M57" i="30"/>
  <c r="M46" i="30"/>
  <c r="U67" i="30"/>
  <c r="T61" i="30"/>
  <c r="T58" i="30"/>
  <c r="S68" i="30"/>
  <c r="K41" i="30"/>
  <c r="K43" i="30"/>
  <c r="K45" i="30"/>
  <c r="K42" i="30"/>
  <c r="K55" i="30"/>
  <c r="K40" i="30"/>
  <c r="K39" i="30"/>
  <c r="D16" i="30"/>
  <c r="G51" i="30"/>
  <c r="G56" i="30"/>
  <c r="G52" i="30"/>
  <c r="H50" i="30"/>
  <c r="G57" i="30"/>
  <c r="G55" i="30"/>
  <c r="G43" i="30"/>
  <c r="G39" i="30"/>
  <c r="H46" i="30"/>
  <c r="H45" i="30"/>
  <c r="H53" i="30"/>
  <c r="H41" i="30"/>
  <c r="H51" i="30"/>
  <c r="I43" i="30"/>
  <c r="H43" i="30"/>
  <c r="I53" i="30"/>
  <c r="I51" i="30"/>
  <c r="F46" i="30"/>
  <c r="I39" i="30"/>
  <c r="J56" i="30"/>
  <c r="I44" i="30"/>
  <c r="I56" i="30"/>
  <c r="J40" i="30"/>
  <c r="I41" i="30"/>
  <c r="J43" i="30"/>
  <c r="J57" i="30"/>
  <c r="J50" i="30"/>
  <c r="J53" i="30"/>
  <c r="L50" i="30"/>
  <c r="L40" i="30"/>
  <c r="L41" i="30"/>
  <c r="L45" i="30"/>
  <c r="L43" i="30"/>
  <c r="L53" i="30"/>
  <c r="F42" i="30"/>
  <c r="L57" i="30"/>
  <c r="F54" i="30"/>
  <c r="F50" i="30"/>
  <c r="F40" i="30"/>
  <c r="F52" i="30"/>
  <c r="F45" i="30"/>
  <c r="H55" i="30"/>
  <c r="H44" i="30"/>
  <c r="K57" i="30"/>
  <c r="K46" i="30"/>
  <c r="J44" i="30"/>
  <c r="J55" i="30"/>
  <c r="G53" i="30"/>
  <c r="G42" i="30"/>
  <c r="I46" i="30"/>
  <c r="I57" i="30"/>
  <c r="L44" i="30"/>
  <c r="L55" i="30"/>
  <c r="H21" i="38"/>
  <c r="H23" i="38" s="1"/>
  <c r="Z24" i="35"/>
  <c r="Z43" i="35" s="1"/>
  <c r="F44" i="30"/>
  <c r="F55" i="30"/>
  <c r="U29" i="35" l="1"/>
  <c r="Z27" i="35"/>
  <c r="Z28" i="35"/>
  <c r="AA25" i="35"/>
  <c r="H24" i="38"/>
  <c r="Q78" i="30"/>
  <c r="Q89" i="30" s="1"/>
  <c r="P100" i="30"/>
  <c r="P111" i="30" s="1"/>
  <c r="P122" i="30" s="1"/>
  <c r="T75" i="30"/>
  <c r="T86" i="30" s="1"/>
  <c r="Q77" i="30"/>
  <c r="Q110" i="30" s="1"/>
  <c r="Q97" i="30"/>
  <c r="Q108" i="30" s="1"/>
  <c r="Q119" i="30" s="1"/>
  <c r="N95" i="30"/>
  <c r="N106" i="30" s="1"/>
  <c r="N117" i="30" s="1"/>
  <c r="V76" i="30"/>
  <c r="V87" i="30" s="1"/>
  <c r="R75" i="30"/>
  <c r="R86" i="30" s="1"/>
  <c r="V78" i="30"/>
  <c r="V89" i="30" s="1"/>
  <c r="N74" i="30"/>
  <c r="N85" i="30" s="1"/>
  <c r="N77" i="30"/>
  <c r="N88" i="30" s="1"/>
  <c r="S96" i="30"/>
  <c r="S107" i="30" s="1"/>
  <c r="S118" i="30" s="1"/>
  <c r="P101" i="30"/>
  <c r="P112" i="30" s="1"/>
  <c r="P123" i="30" s="1"/>
  <c r="M47" i="30"/>
  <c r="N98" i="30"/>
  <c r="N109" i="30" s="1"/>
  <c r="N120" i="30" s="1"/>
  <c r="R101" i="30"/>
  <c r="R112" i="30" s="1"/>
  <c r="R123" i="30" s="1"/>
  <c r="M67" i="30"/>
  <c r="M100" i="30" s="1"/>
  <c r="V75" i="30"/>
  <c r="V86" i="30" s="1"/>
  <c r="P99" i="30"/>
  <c r="P110" i="30" s="1"/>
  <c r="P121" i="30" s="1"/>
  <c r="V79" i="30"/>
  <c r="V90" i="30" s="1"/>
  <c r="S95" i="30"/>
  <c r="S106" i="30" s="1"/>
  <c r="S117" i="30" s="1"/>
  <c r="N75" i="30"/>
  <c r="N86" i="30" s="1"/>
  <c r="V73" i="30"/>
  <c r="V84" i="30" s="1"/>
  <c r="Q96" i="30"/>
  <c r="Q107" i="30" s="1"/>
  <c r="Q118" i="30" s="1"/>
  <c r="Q98" i="30"/>
  <c r="Q109" i="30" s="1"/>
  <c r="V77" i="30"/>
  <c r="V88" i="30" s="1"/>
  <c r="V74" i="30"/>
  <c r="V85" i="30" s="1"/>
  <c r="P95" i="30"/>
  <c r="P106" i="30" s="1"/>
  <c r="P117" i="30" s="1"/>
  <c r="T95" i="30"/>
  <c r="T106" i="30" s="1"/>
  <c r="T117" i="30" s="1"/>
  <c r="M65" i="30"/>
  <c r="M76" i="30" s="1"/>
  <c r="M87" i="30" s="1"/>
  <c r="Q101" i="30"/>
  <c r="Q112" i="30" s="1"/>
  <c r="Q123" i="30" s="1"/>
  <c r="R99" i="30"/>
  <c r="R110" i="30" s="1"/>
  <c r="R121" i="30" s="1"/>
  <c r="Q95" i="30"/>
  <c r="Q106" i="30" s="1"/>
  <c r="Q117" i="30" s="1"/>
  <c r="R100" i="30"/>
  <c r="R111" i="30" s="1"/>
  <c r="R122" i="30" s="1"/>
  <c r="M63" i="30"/>
  <c r="M74" i="30" s="1"/>
  <c r="M85" i="30" s="1"/>
  <c r="T96" i="30"/>
  <c r="T107" i="30" s="1"/>
  <c r="T118" i="30" s="1"/>
  <c r="M66" i="30"/>
  <c r="M99" i="30" s="1"/>
  <c r="T79" i="30"/>
  <c r="T90" i="30" s="1"/>
  <c r="M64" i="30"/>
  <c r="M97" i="30" s="1"/>
  <c r="M62" i="30"/>
  <c r="M73" i="30" s="1"/>
  <c r="M84" i="30" s="1"/>
  <c r="O55" i="30"/>
  <c r="O44" i="30"/>
  <c r="T78" i="30"/>
  <c r="T89" i="30" s="1"/>
  <c r="T100" i="30"/>
  <c r="P96" i="30"/>
  <c r="P74" i="30"/>
  <c r="P85" i="30" s="1"/>
  <c r="O51" i="30"/>
  <c r="O40" i="30"/>
  <c r="R96" i="30"/>
  <c r="R74" i="30"/>
  <c r="R85" i="30" s="1"/>
  <c r="P75" i="30"/>
  <c r="P86" i="30" s="1"/>
  <c r="P97" i="30"/>
  <c r="U72" i="30"/>
  <c r="U94" i="30"/>
  <c r="U69" i="30"/>
  <c r="T48" i="50" s="1"/>
  <c r="AN85" i="35" s="1"/>
  <c r="U77" i="30"/>
  <c r="U88" i="30" s="1"/>
  <c r="U99" i="30"/>
  <c r="S77" i="30"/>
  <c r="S88" i="30" s="1"/>
  <c r="S99" i="30"/>
  <c r="T99" i="30"/>
  <c r="T77" i="30"/>
  <c r="T88" i="30" s="1"/>
  <c r="R72" i="30"/>
  <c r="R94" i="30"/>
  <c r="R69" i="30"/>
  <c r="Q48" i="50" s="1"/>
  <c r="AK85" i="35" s="1"/>
  <c r="T98" i="30"/>
  <c r="T76" i="30"/>
  <c r="T87" i="30" s="1"/>
  <c r="S101" i="30"/>
  <c r="S79" i="30"/>
  <c r="S90" i="30" s="1"/>
  <c r="M68" i="30"/>
  <c r="U97" i="30"/>
  <c r="U75" i="30"/>
  <c r="U86" i="30" s="1"/>
  <c r="Q87" i="30"/>
  <c r="T69" i="30"/>
  <c r="S48" i="50" s="1"/>
  <c r="AM85" i="35" s="1"/>
  <c r="T72" i="30"/>
  <c r="T94" i="30"/>
  <c r="O54" i="30"/>
  <c r="O43" i="30"/>
  <c r="U96" i="30"/>
  <c r="U74" i="30"/>
  <c r="U85" i="30" s="1"/>
  <c r="S76" i="30"/>
  <c r="S87" i="30" s="1"/>
  <c r="S98" i="30"/>
  <c r="N101" i="30"/>
  <c r="N79" i="30"/>
  <c r="N90" i="30" s="1"/>
  <c r="M58" i="30"/>
  <c r="M61" i="30"/>
  <c r="O52" i="30"/>
  <c r="O41" i="30"/>
  <c r="P76" i="30"/>
  <c r="P87" i="30" s="1"/>
  <c r="P98" i="30"/>
  <c r="U73" i="30"/>
  <c r="U84" i="30" s="1"/>
  <c r="U95" i="30"/>
  <c r="U101" i="30"/>
  <c r="U79" i="30"/>
  <c r="U90" i="30" s="1"/>
  <c r="U100" i="30"/>
  <c r="U78" i="30"/>
  <c r="U89" i="30" s="1"/>
  <c r="N78" i="30"/>
  <c r="N89" i="30" s="1"/>
  <c r="N100" i="30"/>
  <c r="O57" i="30"/>
  <c r="O46" i="30"/>
  <c r="P69" i="30"/>
  <c r="O48" i="50" s="1"/>
  <c r="AI85" i="35" s="1"/>
  <c r="P94" i="30"/>
  <c r="P72" i="30"/>
  <c r="V72" i="30"/>
  <c r="V94" i="30"/>
  <c r="V102" i="30" s="1"/>
  <c r="V69" i="30"/>
  <c r="U48" i="50" s="1"/>
  <c r="AO85" i="35" s="1"/>
  <c r="U98" i="30"/>
  <c r="U76" i="30"/>
  <c r="U87" i="30" s="1"/>
  <c r="O53" i="30"/>
  <c r="O42" i="30"/>
  <c r="R76" i="30"/>
  <c r="R87" i="30" s="1"/>
  <c r="R98" i="30"/>
  <c r="S78" i="30"/>
  <c r="S89" i="30" s="1"/>
  <c r="S100" i="30"/>
  <c r="O36" i="30"/>
  <c r="O50" i="30"/>
  <c r="O39" i="30"/>
  <c r="Q72" i="30"/>
  <c r="Q69" i="30"/>
  <c r="P48" i="50" s="1"/>
  <c r="AJ85" i="35" s="1"/>
  <c r="Q94" i="30"/>
  <c r="R73" i="30"/>
  <c r="R84" i="30" s="1"/>
  <c r="R95" i="30"/>
  <c r="O56" i="30"/>
  <c r="O45" i="30"/>
  <c r="S94" i="30"/>
  <c r="S69" i="30"/>
  <c r="R48" i="50" s="1"/>
  <c r="AL85" i="35" s="1"/>
  <c r="S72" i="30"/>
  <c r="S75" i="30"/>
  <c r="S86" i="30" s="1"/>
  <c r="S97" i="30"/>
  <c r="N72" i="30"/>
  <c r="N69" i="30"/>
  <c r="N94" i="30"/>
  <c r="K53" i="30"/>
  <c r="K64" i="30" s="1"/>
  <c r="K51" i="30"/>
  <c r="K62" i="30" s="1"/>
  <c r="K95" i="30" s="1"/>
  <c r="K36" i="30"/>
  <c r="K52" i="30"/>
  <c r="K63" i="30" s="1"/>
  <c r="K96" i="30" s="1"/>
  <c r="K44" i="30"/>
  <c r="K66" i="30" s="1"/>
  <c r="K54" i="30"/>
  <c r="K65" i="30" s="1"/>
  <c r="K76" i="30" s="1"/>
  <c r="K87" i="30" s="1"/>
  <c r="K50" i="30"/>
  <c r="K61" i="30" s="1"/>
  <c r="K56" i="30"/>
  <c r="K67" i="30" s="1"/>
  <c r="G40" i="30"/>
  <c r="G62" i="30" s="1"/>
  <c r="G73" i="30" s="1"/>
  <c r="G84" i="30" s="1"/>
  <c r="G50" i="30"/>
  <c r="G41" i="30"/>
  <c r="G63" i="30" s="1"/>
  <c r="G36" i="30"/>
  <c r="H39" i="30"/>
  <c r="H36" i="30"/>
  <c r="G45" i="30"/>
  <c r="G67" i="30" s="1"/>
  <c r="G78" i="30" s="1"/>
  <c r="G89" i="30" s="1"/>
  <c r="G46" i="30"/>
  <c r="G68" i="30" s="1"/>
  <c r="H57" i="30"/>
  <c r="H68" i="30" s="1"/>
  <c r="H79" i="30" s="1"/>
  <c r="H90" i="30" s="1"/>
  <c r="I54" i="30"/>
  <c r="I65" i="30" s="1"/>
  <c r="G54" i="30"/>
  <c r="G65" i="30" s="1"/>
  <c r="G76" i="30" s="1"/>
  <c r="G87" i="30" s="1"/>
  <c r="G44" i="30"/>
  <c r="G66" i="30" s="1"/>
  <c r="H52" i="30"/>
  <c r="H63" i="30" s="1"/>
  <c r="H74" i="30" s="1"/>
  <c r="H85" i="30" s="1"/>
  <c r="I42" i="30"/>
  <c r="I64" i="30" s="1"/>
  <c r="I75" i="30" s="1"/>
  <c r="I86" i="30" s="1"/>
  <c r="H40" i="30"/>
  <c r="H62" i="30" s="1"/>
  <c r="H54" i="30"/>
  <c r="H65" i="30" s="1"/>
  <c r="H56" i="30"/>
  <c r="H67" i="30" s="1"/>
  <c r="J45" i="30"/>
  <c r="J67" i="30" s="1"/>
  <c r="L39" i="30"/>
  <c r="L61" i="30" s="1"/>
  <c r="I40" i="30"/>
  <c r="I62" i="30" s="1"/>
  <c r="F57" i="30"/>
  <c r="F68" i="30" s="1"/>
  <c r="H42" i="30"/>
  <c r="H64" i="30" s="1"/>
  <c r="I52" i="30"/>
  <c r="I63" i="30" s="1"/>
  <c r="I36" i="30"/>
  <c r="J51" i="30"/>
  <c r="J62" i="30" s="1"/>
  <c r="I50" i="30"/>
  <c r="I61" i="30" s="1"/>
  <c r="I55" i="30"/>
  <c r="I66" i="30" s="1"/>
  <c r="I99" i="30" s="1"/>
  <c r="L42" i="30"/>
  <c r="L64" i="30" s="1"/>
  <c r="L75" i="30" s="1"/>
  <c r="L86" i="30" s="1"/>
  <c r="I45" i="30"/>
  <c r="I67" i="30" s="1"/>
  <c r="L51" i="30"/>
  <c r="L62" i="30" s="1"/>
  <c r="L73" i="30" s="1"/>
  <c r="J46" i="30"/>
  <c r="J68" i="30" s="1"/>
  <c r="J42" i="30"/>
  <c r="J64" i="30" s="1"/>
  <c r="J54" i="30"/>
  <c r="J65" i="30" s="1"/>
  <c r="J98" i="30" s="1"/>
  <c r="J39" i="30"/>
  <c r="J61" i="30" s="1"/>
  <c r="J36" i="30"/>
  <c r="J52" i="30"/>
  <c r="F39" i="30"/>
  <c r="F61" i="30" s="1"/>
  <c r="J41" i="30"/>
  <c r="L52" i="30"/>
  <c r="L63" i="30" s="1"/>
  <c r="F51" i="30"/>
  <c r="F62" i="30" s="1"/>
  <c r="F53" i="30"/>
  <c r="F64" i="30" s="1"/>
  <c r="L46" i="30"/>
  <c r="L36" i="30"/>
  <c r="L56" i="30"/>
  <c r="L67" i="30" s="1"/>
  <c r="L78" i="30" s="1"/>
  <c r="L89" i="30" s="1"/>
  <c r="F43" i="30"/>
  <c r="F65" i="30" s="1"/>
  <c r="F98" i="30" s="1"/>
  <c r="L54" i="30"/>
  <c r="F36" i="30"/>
  <c r="F56" i="30"/>
  <c r="F67" i="30" s="1"/>
  <c r="F41" i="30"/>
  <c r="F63" i="30" s="1"/>
  <c r="F96" i="30" s="1"/>
  <c r="E52" i="30"/>
  <c r="E41" i="30"/>
  <c r="E53" i="30"/>
  <c r="E42" i="30"/>
  <c r="G64" i="30"/>
  <c r="G97" i="30" s="1"/>
  <c r="I68" i="30"/>
  <c r="I79" i="30" s="1"/>
  <c r="I90" i="30" s="1"/>
  <c r="E45" i="30"/>
  <c r="E56" i="30"/>
  <c r="E39" i="30"/>
  <c r="E36" i="30"/>
  <c r="E50" i="30"/>
  <c r="E51" i="30"/>
  <c r="E40" i="30"/>
  <c r="E46" i="30"/>
  <c r="E57" i="30"/>
  <c r="E55" i="30"/>
  <c r="E44" i="30"/>
  <c r="E43" i="30"/>
  <c r="E54" i="30"/>
  <c r="F66" i="30"/>
  <c r="F77" i="30" s="1"/>
  <c r="F88" i="30" s="1"/>
  <c r="K68" i="30"/>
  <c r="K101" i="30" s="1"/>
  <c r="J66" i="30"/>
  <c r="J77" i="30" s="1"/>
  <c r="J88" i="30" s="1"/>
  <c r="D56" i="30"/>
  <c r="D45" i="30"/>
  <c r="D52" i="30"/>
  <c r="D41" i="30"/>
  <c r="D50" i="30"/>
  <c r="D39" i="30"/>
  <c r="D36" i="30"/>
  <c r="D51" i="30"/>
  <c r="D40" i="30"/>
  <c r="H66" i="30"/>
  <c r="D57" i="30"/>
  <c r="D46" i="30"/>
  <c r="D53" i="30"/>
  <c r="D42" i="30"/>
  <c r="AA24" i="35"/>
  <c r="AA43" i="35" s="1"/>
  <c r="I21" i="38"/>
  <c r="I23" i="38" s="1"/>
  <c r="D55" i="30"/>
  <c r="D44" i="30"/>
  <c r="D54" i="30"/>
  <c r="D43" i="30"/>
  <c r="L66" i="30"/>
  <c r="M48" i="50" l="1"/>
  <c r="AG85" i="35" s="1"/>
  <c r="O21" i="19"/>
  <c r="AA28" i="35"/>
  <c r="AA27" i="35"/>
  <c r="T108" i="30"/>
  <c r="T119" i="30" s="1"/>
  <c r="AB25" i="35"/>
  <c r="I24" i="38"/>
  <c r="V109" i="30"/>
  <c r="V120" i="30" s="1"/>
  <c r="Q111" i="30"/>
  <c r="Q122" i="30" s="1"/>
  <c r="V111" i="30"/>
  <c r="V122" i="30" s="1"/>
  <c r="Q88" i="30"/>
  <c r="Q121" i="30" s="1"/>
  <c r="R108" i="30"/>
  <c r="R119" i="30" s="1"/>
  <c r="M78" i="30"/>
  <c r="M89" i="30" s="1"/>
  <c r="N107" i="30"/>
  <c r="N118" i="30" s="1"/>
  <c r="N110" i="30"/>
  <c r="N121" i="30" s="1"/>
  <c r="Q102" i="30"/>
  <c r="P102" i="30"/>
  <c r="K47" i="30"/>
  <c r="V112" i="30"/>
  <c r="V123" i="30" s="1"/>
  <c r="O47" i="30"/>
  <c r="U102" i="30"/>
  <c r="V108" i="30"/>
  <c r="V119" i="30" s="1"/>
  <c r="U105" i="30"/>
  <c r="N108" i="30"/>
  <c r="N119" i="30" s="1"/>
  <c r="S102" i="30"/>
  <c r="M98" i="30"/>
  <c r="M109" i="30" s="1"/>
  <c r="M120" i="30" s="1"/>
  <c r="T102" i="30"/>
  <c r="M77" i="30"/>
  <c r="M88" i="30" s="1"/>
  <c r="R102" i="30"/>
  <c r="N102" i="30"/>
  <c r="H58" i="30"/>
  <c r="O65" i="30"/>
  <c r="O76" i="30" s="1"/>
  <c r="O87" i="30" s="1"/>
  <c r="M75" i="30"/>
  <c r="M86" i="30" s="1"/>
  <c r="V106" i="30"/>
  <c r="V117" i="30" s="1"/>
  <c r="N112" i="30"/>
  <c r="N123" i="30" s="1"/>
  <c r="M96" i="30"/>
  <c r="M107" i="30" s="1"/>
  <c r="M118" i="30" s="1"/>
  <c r="O66" i="30"/>
  <c r="O77" i="30" s="1"/>
  <c r="V110" i="30"/>
  <c r="V121" i="30" s="1"/>
  <c r="V107" i="30"/>
  <c r="V118" i="30" s="1"/>
  <c r="T112" i="30"/>
  <c r="T123" i="30" s="1"/>
  <c r="O63" i="30"/>
  <c r="O74" i="30" s="1"/>
  <c r="O85" i="30" s="1"/>
  <c r="R106" i="30"/>
  <c r="R117" i="30" s="1"/>
  <c r="P108" i="30"/>
  <c r="P119" i="30" s="1"/>
  <c r="O67" i="30"/>
  <c r="O78" i="30" s="1"/>
  <c r="O89" i="30" s="1"/>
  <c r="S111" i="30"/>
  <c r="S122" i="30" s="1"/>
  <c r="Q120" i="30"/>
  <c r="S108" i="30"/>
  <c r="S119" i="30" s="1"/>
  <c r="O68" i="30"/>
  <c r="O79" i="30" s="1"/>
  <c r="O90" i="30" s="1"/>
  <c r="O62" i="30"/>
  <c r="O73" i="30" s="1"/>
  <c r="O84" i="30" s="1"/>
  <c r="S105" i="30"/>
  <c r="V105" i="30"/>
  <c r="N111" i="30"/>
  <c r="N122" i="30" s="1"/>
  <c r="U112" i="30"/>
  <c r="U123" i="30" s="1"/>
  <c r="U106" i="30"/>
  <c r="U117" i="30" s="1"/>
  <c r="R105" i="30"/>
  <c r="M95" i="30"/>
  <c r="M106" i="30" s="1"/>
  <c r="M117" i="30" s="1"/>
  <c r="R109" i="30"/>
  <c r="R120" i="30" s="1"/>
  <c r="O64" i="30"/>
  <c r="O75" i="30" s="1"/>
  <c r="O86" i="30" s="1"/>
  <c r="U109" i="30"/>
  <c r="U120" i="30" s="1"/>
  <c r="S110" i="30"/>
  <c r="S121" i="30" s="1"/>
  <c r="N105" i="30"/>
  <c r="N80" i="30"/>
  <c r="N83" i="30"/>
  <c r="N91" i="30" s="1"/>
  <c r="V83" i="30"/>
  <c r="V91" i="30" s="1"/>
  <c r="U50" i="50" s="1"/>
  <c r="AO86" i="35" s="1"/>
  <c r="V80" i="30"/>
  <c r="M94" i="30"/>
  <c r="M69" i="30"/>
  <c r="N21" i="19" s="1"/>
  <c r="M72" i="30"/>
  <c r="R80" i="30"/>
  <c r="R83" i="30"/>
  <c r="R91" i="30" s="1"/>
  <c r="Q50" i="50" s="1"/>
  <c r="AK86" i="35" s="1"/>
  <c r="U83" i="30"/>
  <c r="U91" i="30" s="1"/>
  <c r="T50" i="50" s="1"/>
  <c r="AN86" i="35" s="1"/>
  <c r="U80" i="30"/>
  <c r="U107" i="30"/>
  <c r="U118" i="30" s="1"/>
  <c r="U108" i="30"/>
  <c r="U119" i="30" s="1"/>
  <c r="T110" i="30"/>
  <c r="T121" i="30" s="1"/>
  <c r="P107" i="30"/>
  <c r="P118" i="30" s="1"/>
  <c r="M101" i="30"/>
  <c r="M79" i="30"/>
  <c r="M90" i="30" s="1"/>
  <c r="O58" i="30"/>
  <c r="O61" i="30"/>
  <c r="U111" i="30"/>
  <c r="U122" i="30" s="1"/>
  <c r="S112" i="30"/>
  <c r="S123" i="30" s="1"/>
  <c r="T111" i="30"/>
  <c r="T122" i="30" s="1"/>
  <c r="P80" i="30"/>
  <c r="P83" i="30"/>
  <c r="P91" i="30" s="1"/>
  <c r="O50" i="50" s="1"/>
  <c r="AI86" i="35" s="1"/>
  <c r="S80" i="30"/>
  <c r="S83" i="30"/>
  <c r="S91" i="30" s="1"/>
  <c r="R50" i="50" s="1"/>
  <c r="AL86" i="35" s="1"/>
  <c r="T105" i="30"/>
  <c r="Q80" i="30"/>
  <c r="Q83" i="30"/>
  <c r="P105" i="30"/>
  <c r="T83" i="30"/>
  <c r="T91" i="30" s="1"/>
  <c r="S50" i="50" s="1"/>
  <c r="AM86" i="35" s="1"/>
  <c r="T80" i="30"/>
  <c r="T109" i="30"/>
  <c r="T120" i="30" s="1"/>
  <c r="P109" i="30"/>
  <c r="P120" i="30" s="1"/>
  <c r="S109" i="30"/>
  <c r="S120" i="30" s="1"/>
  <c r="U110" i="30"/>
  <c r="U121" i="30" s="1"/>
  <c r="R107" i="30"/>
  <c r="R118" i="30" s="1"/>
  <c r="Q105" i="30"/>
  <c r="K58" i="30"/>
  <c r="I47" i="30"/>
  <c r="H47" i="30"/>
  <c r="G58" i="30"/>
  <c r="G47" i="30"/>
  <c r="H61" i="30"/>
  <c r="H72" i="30" s="1"/>
  <c r="G61" i="30"/>
  <c r="G72" i="30" s="1"/>
  <c r="L47" i="30"/>
  <c r="I58" i="30"/>
  <c r="L68" i="30"/>
  <c r="J58" i="30"/>
  <c r="J47" i="30"/>
  <c r="J63" i="30"/>
  <c r="J96" i="30" s="1"/>
  <c r="K98" i="30"/>
  <c r="K109" i="30" s="1"/>
  <c r="K120" i="30" s="1"/>
  <c r="F58" i="30"/>
  <c r="L58" i="30"/>
  <c r="L65" i="30"/>
  <c r="L98" i="30" s="1"/>
  <c r="I97" i="30"/>
  <c r="I108" i="30" s="1"/>
  <c r="I119" i="30" s="1"/>
  <c r="F47" i="30"/>
  <c r="E47" i="30"/>
  <c r="D47" i="30"/>
  <c r="H101" i="30"/>
  <c r="H112" i="30" s="1"/>
  <c r="H123" i="30" s="1"/>
  <c r="L100" i="30"/>
  <c r="L111" i="30" s="1"/>
  <c r="L122" i="30" s="1"/>
  <c r="G98" i="30"/>
  <c r="G109" i="30" s="1"/>
  <c r="G120" i="30" s="1"/>
  <c r="G100" i="30"/>
  <c r="G111" i="30" s="1"/>
  <c r="G122" i="30" s="1"/>
  <c r="I101" i="30"/>
  <c r="I112" i="30" s="1"/>
  <c r="I123" i="30" s="1"/>
  <c r="E66" i="30"/>
  <c r="E99" i="30" s="1"/>
  <c r="E62" i="30"/>
  <c r="E95" i="30" s="1"/>
  <c r="F76" i="30"/>
  <c r="F87" i="30" s="1"/>
  <c r="J76" i="30"/>
  <c r="J87" i="30" s="1"/>
  <c r="F74" i="30"/>
  <c r="F85" i="30" s="1"/>
  <c r="L95" i="30"/>
  <c r="L106" i="30" s="1"/>
  <c r="L97" i="30"/>
  <c r="L108" i="30" s="1"/>
  <c r="L119" i="30" s="1"/>
  <c r="K74" i="30"/>
  <c r="K85" i="30" s="1"/>
  <c r="F99" i="30"/>
  <c r="F110" i="30" s="1"/>
  <c r="F121" i="30" s="1"/>
  <c r="H96" i="30"/>
  <c r="H107" i="30" s="1"/>
  <c r="H118" i="30" s="1"/>
  <c r="G75" i="30"/>
  <c r="G86" i="30" s="1"/>
  <c r="I77" i="30"/>
  <c r="I88" i="30" s="1"/>
  <c r="E61" i="30"/>
  <c r="E58" i="30"/>
  <c r="E65" i="30"/>
  <c r="E68" i="30"/>
  <c r="E63" i="30"/>
  <c r="K79" i="30"/>
  <c r="K90" i="30" s="1"/>
  <c r="E67" i="30"/>
  <c r="E64" i="30"/>
  <c r="L84" i="30"/>
  <c r="D66" i="30"/>
  <c r="D99" i="30" s="1"/>
  <c r="K73" i="30"/>
  <c r="K84" i="30" s="1"/>
  <c r="D63" i="30"/>
  <c r="D74" i="30" s="1"/>
  <c r="D85" i="30" s="1"/>
  <c r="D64" i="30"/>
  <c r="D75" i="30" s="1"/>
  <c r="D86" i="30" s="1"/>
  <c r="G95" i="30"/>
  <c r="G106" i="30" s="1"/>
  <c r="G117" i="30" s="1"/>
  <c r="J99" i="30"/>
  <c r="J110" i="30" s="1"/>
  <c r="J121" i="30" s="1"/>
  <c r="J72" i="30"/>
  <c r="J94" i="30"/>
  <c r="F69" i="30"/>
  <c r="E48" i="50" s="1"/>
  <c r="Y85" i="35" s="1"/>
  <c r="F94" i="30"/>
  <c r="F72" i="30"/>
  <c r="H78" i="30"/>
  <c r="H89" i="30" s="1"/>
  <c r="H100" i="30"/>
  <c r="K100" i="30"/>
  <c r="K78" i="30"/>
  <c r="K89" i="30" s="1"/>
  <c r="F73" i="30"/>
  <c r="F84" i="30" s="1"/>
  <c r="F95" i="30"/>
  <c r="F78" i="30"/>
  <c r="F89" i="30" s="1"/>
  <c r="F100" i="30"/>
  <c r="L96" i="30"/>
  <c r="L74" i="30"/>
  <c r="L85" i="30" s="1"/>
  <c r="D61" i="30"/>
  <c r="D58" i="30"/>
  <c r="F75" i="30"/>
  <c r="F86" i="30" s="1"/>
  <c r="F97" i="30"/>
  <c r="J95" i="30"/>
  <c r="J73" i="30"/>
  <c r="J84" i="30" s="1"/>
  <c r="G74" i="30"/>
  <c r="G85" i="30" s="1"/>
  <c r="G96" i="30"/>
  <c r="L72" i="30"/>
  <c r="L94" i="30"/>
  <c r="J97" i="30"/>
  <c r="J75" i="30"/>
  <c r="J86" i="30" s="1"/>
  <c r="I96" i="30"/>
  <c r="I74" i="30"/>
  <c r="I85" i="30" s="1"/>
  <c r="H73" i="30"/>
  <c r="H84" i="30" s="1"/>
  <c r="H95" i="30"/>
  <c r="F79" i="30"/>
  <c r="F90" i="30" s="1"/>
  <c r="F101" i="30"/>
  <c r="L99" i="30"/>
  <c r="L77" i="30"/>
  <c r="L88" i="30" s="1"/>
  <c r="D65" i="30"/>
  <c r="I78" i="30"/>
  <c r="I89" i="30" s="1"/>
  <c r="I100" i="30"/>
  <c r="J100" i="30"/>
  <c r="J78" i="30"/>
  <c r="J89" i="30" s="1"/>
  <c r="K99" i="30"/>
  <c r="K77" i="30"/>
  <c r="K88" i="30" s="1"/>
  <c r="D68" i="30"/>
  <c r="K75" i="30"/>
  <c r="K86" i="30" s="1"/>
  <c r="K97" i="30"/>
  <c r="H76" i="30"/>
  <c r="H87" i="30" s="1"/>
  <c r="H98" i="30"/>
  <c r="H97" i="30"/>
  <c r="H75" i="30"/>
  <c r="H86" i="30" s="1"/>
  <c r="D62" i="30"/>
  <c r="K94" i="30"/>
  <c r="K72" i="30"/>
  <c r="K69" i="30"/>
  <c r="J48" i="50" s="1"/>
  <c r="AD85" i="35" s="1"/>
  <c r="D67" i="30"/>
  <c r="AB24" i="35"/>
  <c r="AB43" i="35" s="1"/>
  <c r="J21" i="38"/>
  <c r="J23" i="38" s="1"/>
  <c r="J79" i="30"/>
  <c r="J90" i="30" s="1"/>
  <c r="J101" i="30"/>
  <c r="I95" i="30"/>
  <c r="I73" i="30"/>
  <c r="I84" i="30" s="1"/>
  <c r="I98" i="30"/>
  <c r="I76" i="30"/>
  <c r="I87" i="30" s="1"/>
  <c r="H77" i="30"/>
  <c r="H88" i="30" s="1"/>
  <c r="H99" i="30"/>
  <c r="G101" i="30"/>
  <c r="G79" i="30"/>
  <c r="G90" i="30" s="1"/>
  <c r="I69" i="30"/>
  <c r="H48" i="50" s="1"/>
  <c r="AB85" i="35" s="1"/>
  <c r="I94" i="30"/>
  <c r="I72" i="30"/>
  <c r="G99" i="30"/>
  <c r="G77" i="30"/>
  <c r="G88" i="30" s="1"/>
  <c r="M50" i="50" l="1"/>
  <c r="AG86" i="35" s="1"/>
  <c r="O23" i="19"/>
  <c r="AB28" i="35"/>
  <c r="AB27" i="35"/>
  <c r="L48" i="50"/>
  <c r="AF85" i="35" s="1"/>
  <c r="C85" i="35" s="1"/>
  <c r="AC25" i="35"/>
  <c r="J24" i="38"/>
  <c r="Q91" i="30"/>
  <c r="P50" i="50" s="1"/>
  <c r="AJ86" i="35" s="1"/>
  <c r="M110" i="30"/>
  <c r="M121" i="30" s="1"/>
  <c r="M111" i="30"/>
  <c r="M122" i="30" s="1"/>
  <c r="O98" i="30"/>
  <c r="O109" i="30" s="1"/>
  <c r="O120" i="30" s="1"/>
  <c r="S113" i="30"/>
  <c r="M102" i="30"/>
  <c r="L69" i="30"/>
  <c r="K48" i="50" s="1"/>
  <c r="AE85" i="35" s="1"/>
  <c r="V113" i="30"/>
  <c r="U113" i="30"/>
  <c r="O99" i="30"/>
  <c r="O110" i="30" s="1"/>
  <c r="R113" i="30"/>
  <c r="O96" i="30"/>
  <c r="O107" i="30" s="1"/>
  <c r="O118" i="30" s="1"/>
  <c r="M108" i="30"/>
  <c r="M119" i="30" s="1"/>
  <c r="O101" i="30"/>
  <c r="O112" i="30" s="1"/>
  <c r="O123" i="30" s="1"/>
  <c r="O100" i="30"/>
  <c r="O111" i="30" s="1"/>
  <c r="O122" i="30" s="1"/>
  <c r="O95" i="30"/>
  <c r="O106" i="30" s="1"/>
  <c r="O117" i="30" s="1"/>
  <c r="M105" i="30"/>
  <c r="U116" i="30"/>
  <c r="U124" i="30" s="1"/>
  <c r="T52" i="50" s="1"/>
  <c r="AN87" i="35" s="1"/>
  <c r="R116" i="30"/>
  <c r="R124" i="30" s="1"/>
  <c r="Q52" i="50" s="1"/>
  <c r="AK87" i="35" s="1"/>
  <c r="O97" i="30"/>
  <c r="O108" i="30" s="1"/>
  <c r="O119" i="30" s="1"/>
  <c r="V116" i="30"/>
  <c r="V124" i="30" s="1"/>
  <c r="U52" i="50" s="1"/>
  <c r="AO87" i="35" s="1"/>
  <c r="S116" i="30"/>
  <c r="S124" i="30" s="1"/>
  <c r="R52" i="50" s="1"/>
  <c r="AL87" i="35" s="1"/>
  <c r="O88" i="30"/>
  <c r="T113" i="30"/>
  <c r="T116" i="30"/>
  <c r="T124" i="30" s="1"/>
  <c r="S52" i="50" s="1"/>
  <c r="AM87" i="35" s="1"/>
  <c r="O94" i="30"/>
  <c r="O72" i="30"/>
  <c r="O69" i="30"/>
  <c r="N48" i="50" s="1"/>
  <c r="AH85" i="35" s="1"/>
  <c r="N113" i="30"/>
  <c r="N116" i="30"/>
  <c r="N124" i="30" s="1"/>
  <c r="P113" i="30"/>
  <c r="P116" i="30"/>
  <c r="P124" i="30" s="1"/>
  <c r="O52" i="50" s="1"/>
  <c r="AI87" i="35" s="1"/>
  <c r="Q113" i="30"/>
  <c r="Q116" i="30"/>
  <c r="Q124" i="30" s="1"/>
  <c r="P52" i="50" s="1"/>
  <c r="AJ87" i="35" s="1"/>
  <c r="M112" i="30"/>
  <c r="M123" i="30" s="1"/>
  <c r="M83" i="30"/>
  <c r="M91" i="30" s="1"/>
  <c r="N23" i="19" s="1"/>
  <c r="M80" i="30"/>
  <c r="L21" i="19"/>
  <c r="G21" i="19"/>
  <c r="J21" i="19"/>
  <c r="H94" i="30"/>
  <c r="H105" i="30" s="1"/>
  <c r="G94" i="30"/>
  <c r="G105" i="30" s="1"/>
  <c r="H69" i="30"/>
  <c r="G48" i="50" s="1"/>
  <c r="AA85" i="35" s="1"/>
  <c r="G69" i="30"/>
  <c r="F48" i="50" s="1"/>
  <c r="Z85" i="35" s="1"/>
  <c r="L76" i="30"/>
  <c r="L87" i="30" s="1"/>
  <c r="L101" i="30"/>
  <c r="L102" i="30" s="1"/>
  <c r="L79" i="30"/>
  <c r="E77" i="30"/>
  <c r="E88" i="30" s="1"/>
  <c r="J74" i="30"/>
  <c r="J85" i="30" s="1"/>
  <c r="J69" i="30"/>
  <c r="I48" i="50" s="1"/>
  <c r="AC85" i="35" s="1"/>
  <c r="I102" i="30"/>
  <c r="F102" i="30"/>
  <c r="K102" i="30"/>
  <c r="J102" i="30"/>
  <c r="K107" i="30"/>
  <c r="K118" i="30" s="1"/>
  <c r="J109" i="30"/>
  <c r="J120" i="30" s="1"/>
  <c r="E73" i="30"/>
  <c r="E84" i="30" s="1"/>
  <c r="F109" i="30"/>
  <c r="F120" i="30" s="1"/>
  <c r="F107" i="30"/>
  <c r="F118" i="30" s="1"/>
  <c r="K112" i="30"/>
  <c r="K123" i="30" s="1"/>
  <c r="D97" i="30"/>
  <c r="D108" i="30" s="1"/>
  <c r="D119" i="30" s="1"/>
  <c r="D96" i="30"/>
  <c r="D107" i="30" s="1"/>
  <c r="D118" i="30" s="1"/>
  <c r="L117" i="30"/>
  <c r="I110" i="30"/>
  <c r="I121" i="30" s="1"/>
  <c r="G108" i="30"/>
  <c r="G119" i="30" s="1"/>
  <c r="I111" i="30"/>
  <c r="I122" i="30" s="1"/>
  <c r="L105" i="30"/>
  <c r="H106" i="30"/>
  <c r="H117" i="30" s="1"/>
  <c r="K105" i="30"/>
  <c r="K108" i="30"/>
  <c r="K119" i="30" s="1"/>
  <c r="E101" i="30"/>
  <c r="E79" i="30"/>
  <c r="E94" i="30"/>
  <c r="E69" i="30"/>
  <c r="D48" i="50" s="1"/>
  <c r="X85" i="35" s="1"/>
  <c r="E72" i="30"/>
  <c r="J111" i="30"/>
  <c r="J122" i="30" s="1"/>
  <c r="F108" i="30"/>
  <c r="F119" i="30" s="1"/>
  <c r="L107" i="30"/>
  <c r="L118" i="30" s="1"/>
  <c r="E75" i="30"/>
  <c r="E97" i="30"/>
  <c r="E98" i="30"/>
  <c r="E76" i="30"/>
  <c r="E96" i="30"/>
  <c r="E74" i="30"/>
  <c r="E85" i="30" s="1"/>
  <c r="F111" i="30"/>
  <c r="F122" i="30" s="1"/>
  <c r="F105" i="30"/>
  <c r="E78" i="30"/>
  <c r="E100" i="30"/>
  <c r="K106" i="30"/>
  <c r="K117" i="30" s="1"/>
  <c r="D77" i="30"/>
  <c r="D88" i="30" s="1"/>
  <c r="H108" i="30"/>
  <c r="H119" i="30" s="1"/>
  <c r="K110" i="30"/>
  <c r="K121" i="30" s="1"/>
  <c r="I109" i="30"/>
  <c r="I120" i="30" s="1"/>
  <c r="I106" i="30"/>
  <c r="I117" i="30" s="1"/>
  <c r="I107" i="30"/>
  <c r="I118" i="30" s="1"/>
  <c r="I83" i="30"/>
  <c r="I91" i="30" s="1"/>
  <c r="H50" i="50" s="1"/>
  <c r="AB86" i="35" s="1"/>
  <c r="I80" i="30"/>
  <c r="G110" i="30"/>
  <c r="G121" i="30" s="1"/>
  <c r="H110" i="30"/>
  <c r="H121" i="30" s="1"/>
  <c r="K83" i="30"/>
  <c r="K91" i="30" s="1"/>
  <c r="J50" i="50" s="1"/>
  <c r="AD86" i="35" s="1"/>
  <c r="K80" i="30"/>
  <c r="H109" i="30"/>
  <c r="H120" i="30" s="1"/>
  <c r="L110" i="30"/>
  <c r="L121" i="30" s="1"/>
  <c r="F112" i="30"/>
  <c r="F123" i="30" s="1"/>
  <c r="D69" i="30"/>
  <c r="C48" i="50" s="1"/>
  <c r="W85" i="35" s="1"/>
  <c r="D72" i="30"/>
  <c r="D94" i="30"/>
  <c r="H111" i="30"/>
  <c r="H122" i="30" s="1"/>
  <c r="J83" i="30"/>
  <c r="G80" i="30"/>
  <c r="G83" i="30"/>
  <c r="G91" i="30" s="1"/>
  <c r="F50" i="50" s="1"/>
  <c r="Z86" i="35" s="1"/>
  <c r="H80" i="30"/>
  <c r="H83" i="30"/>
  <c r="H91" i="30" s="1"/>
  <c r="G50" i="50" s="1"/>
  <c r="AA86" i="35" s="1"/>
  <c r="G112" i="30"/>
  <c r="G123" i="30" s="1"/>
  <c r="D79" i="30"/>
  <c r="D90" i="30" s="1"/>
  <c r="D101" i="30"/>
  <c r="J108" i="30"/>
  <c r="J119" i="30" s="1"/>
  <c r="L83" i="30"/>
  <c r="F106" i="30"/>
  <c r="F117" i="30" s="1"/>
  <c r="J112" i="30"/>
  <c r="J123" i="30" s="1"/>
  <c r="I105" i="30"/>
  <c r="K21" i="38"/>
  <c r="K23" i="38" s="1"/>
  <c r="AC24" i="35"/>
  <c r="AC43" i="35" s="1"/>
  <c r="D78" i="30"/>
  <c r="D89" i="30" s="1"/>
  <c r="D100" i="30"/>
  <c r="D95" i="30"/>
  <c r="D73" i="30"/>
  <c r="D84" i="30" s="1"/>
  <c r="D76" i="30"/>
  <c r="D87" i="30" s="1"/>
  <c r="D98" i="30"/>
  <c r="G107" i="30"/>
  <c r="G118" i="30" s="1"/>
  <c r="J106" i="30"/>
  <c r="J117" i="30" s="1"/>
  <c r="K111" i="30"/>
  <c r="K122" i="30" s="1"/>
  <c r="F80" i="30"/>
  <c r="F83" i="30"/>
  <c r="F91" i="30" s="1"/>
  <c r="E50" i="50" s="1"/>
  <c r="Y86" i="35" s="1"/>
  <c r="J105" i="30"/>
  <c r="M52" i="50" l="1"/>
  <c r="AG87" i="35" s="1"/>
  <c r="O25" i="19"/>
  <c r="AC28" i="35"/>
  <c r="AC27" i="35"/>
  <c r="L50" i="50"/>
  <c r="AF86" i="35" s="1"/>
  <c r="F83" i="35" s="1"/>
  <c r="AD25" i="35"/>
  <c r="K24" i="38"/>
  <c r="M21" i="19"/>
  <c r="M113" i="30"/>
  <c r="L80" i="30"/>
  <c r="O102" i="30"/>
  <c r="O105" i="30"/>
  <c r="O113" i="30" s="1"/>
  <c r="M116" i="30"/>
  <c r="M124" i="30" s="1"/>
  <c r="N25" i="19" s="1"/>
  <c r="O83" i="30"/>
  <c r="O91" i="30" s="1"/>
  <c r="N50" i="50" s="1"/>
  <c r="AH86" i="35" s="1"/>
  <c r="O80" i="30"/>
  <c r="O121" i="30"/>
  <c r="H23" i="19"/>
  <c r="F21" i="19"/>
  <c r="J23" i="19"/>
  <c r="K21" i="19"/>
  <c r="E21" i="19"/>
  <c r="G23" i="19"/>
  <c r="I23" i="19"/>
  <c r="H21" i="19"/>
  <c r="L23" i="19"/>
  <c r="I21" i="19"/>
  <c r="H102" i="30"/>
  <c r="G102" i="30"/>
  <c r="J107" i="30"/>
  <c r="J118" i="30" s="1"/>
  <c r="L109" i="30"/>
  <c r="L120" i="30" s="1"/>
  <c r="L90" i="30"/>
  <c r="L91" i="30" s="1"/>
  <c r="K50" i="50" s="1"/>
  <c r="AE86" i="35" s="1"/>
  <c r="L112" i="30"/>
  <c r="J80" i="30"/>
  <c r="J91" i="30"/>
  <c r="I50" i="50" s="1"/>
  <c r="AC86" i="35" s="1"/>
  <c r="E110" i="30"/>
  <c r="E121" i="30" s="1"/>
  <c r="D102" i="30"/>
  <c r="K113" i="30"/>
  <c r="H113" i="30"/>
  <c r="G113" i="30"/>
  <c r="E102" i="30"/>
  <c r="F113" i="30"/>
  <c r="E106" i="30"/>
  <c r="E117" i="30" s="1"/>
  <c r="E86" i="30"/>
  <c r="E108" i="30"/>
  <c r="E83" i="30"/>
  <c r="E80" i="30"/>
  <c r="E90" i="30"/>
  <c r="E112" i="30"/>
  <c r="E89" i="30"/>
  <c r="E111" i="30"/>
  <c r="E87" i="30"/>
  <c r="E109" i="30"/>
  <c r="D105" i="30"/>
  <c r="E105" i="30"/>
  <c r="E107" i="30"/>
  <c r="E118" i="30" s="1"/>
  <c r="D109" i="30"/>
  <c r="D120" i="30" s="1"/>
  <c r="D110" i="30"/>
  <c r="D121" i="30" s="1"/>
  <c r="L21" i="38"/>
  <c r="L23" i="38" s="1"/>
  <c r="AD24" i="35"/>
  <c r="AD43" i="35" s="1"/>
  <c r="F116" i="30"/>
  <c r="F124" i="30" s="1"/>
  <c r="E52" i="50" s="1"/>
  <c r="Y87" i="35" s="1"/>
  <c r="L116" i="30"/>
  <c r="I116" i="30"/>
  <c r="I124" i="30" s="1"/>
  <c r="H52" i="50" s="1"/>
  <c r="AB87" i="35" s="1"/>
  <c r="I113" i="30"/>
  <c r="J116" i="30"/>
  <c r="D111" i="30"/>
  <c r="D122" i="30" s="1"/>
  <c r="D83" i="30"/>
  <c r="D91" i="30" s="1"/>
  <c r="C50" i="50" s="1"/>
  <c r="W86" i="35" s="1"/>
  <c r="D80" i="30"/>
  <c r="K116" i="30"/>
  <c r="K124" i="30" s="1"/>
  <c r="J52" i="50" s="1"/>
  <c r="AD87" i="35" s="1"/>
  <c r="D106" i="30"/>
  <c r="D117" i="30" s="1"/>
  <c r="D112" i="30"/>
  <c r="D123" i="30" s="1"/>
  <c r="G116" i="30"/>
  <c r="G124" i="30" s="1"/>
  <c r="F52" i="50" s="1"/>
  <c r="Z87" i="35" s="1"/>
  <c r="H116" i="30"/>
  <c r="H124" i="30" s="1"/>
  <c r="G52" i="50" s="1"/>
  <c r="AA87" i="35" s="1"/>
  <c r="AD28" i="35" l="1"/>
  <c r="AD27" i="35"/>
  <c r="L52" i="50"/>
  <c r="AF87" i="35" s="1"/>
  <c r="F89" i="35" s="1"/>
  <c r="AE25" i="35"/>
  <c r="L24" i="38"/>
  <c r="J124" i="30"/>
  <c r="I52" i="50" s="1"/>
  <c r="AC87" i="35" s="1"/>
  <c r="O116" i="30"/>
  <c r="O124" i="30" s="1"/>
  <c r="N52" i="50" s="1"/>
  <c r="AH87" i="35" s="1"/>
  <c r="J113" i="30"/>
  <c r="L113" i="30"/>
  <c r="L25" i="19"/>
  <c r="K23" i="19"/>
  <c r="M23" i="19"/>
  <c r="J25" i="19"/>
  <c r="I25" i="19"/>
  <c r="E23" i="19"/>
  <c r="H25" i="19"/>
  <c r="G25" i="19"/>
  <c r="L123" i="30"/>
  <c r="L124" i="30" s="1"/>
  <c r="K52" i="50" s="1"/>
  <c r="AE87" i="35" s="1"/>
  <c r="D113" i="30"/>
  <c r="E91" i="30"/>
  <c r="D50" i="50" s="1"/>
  <c r="X86" i="35" s="1"/>
  <c r="E120" i="30"/>
  <c r="E123" i="30"/>
  <c r="E119" i="30"/>
  <c r="E122" i="30"/>
  <c r="E113" i="30"/>
  <c r="E116" i="30"/>
  <c r="D116" i="30"/>
  <c r="D124" i="30" s="1"/>
  <c r="C52" i="50" s="1"/>
  <c r="W87" i="35" s="1"/>
  <c r="AE24" i="35"/>
  <c r="AE43" i="35" s="1"/>
  <c r="M21" i="38"/>
  <c r="M23" i="38" s="1"/>
  <c r="AE28" i="35" l="1"/>
  <c r="AE27" i="35"/>
  <c r="AF25" i="35"/>
  <c r="M24" i="38"/>
  <c r="K25" i="19"/>
  <c r="F23" i="19"/>
  <c r="E25" i="19"/>
  <c r="M25" i="19"/>
  <c r="E124" i="30"/>
  <c r="D52" i="50" s="1"/>
  <c r="X87" i="35" s="1"/>
  <c r="AF24" i="35"/>
  <c r="N21" i="38"/>
  <c r="N23" i="38" s="1"/>
  <c r="AF28" i="35" l="1"/>
  <c r="AF27" i="35"/>
  <c r="N24" i="38"/>
  <c r="F25" i="19"/>
  <c r="AG25" i="35"/>
  <c r="AG24" i="35"/>
  <c r="O21" i="38"/>
  <c r="O23" i="38" s="1"/>
  <c r="AG27" i="35" l="1"/>
  <c r="AG28" i="35"/>
  <c r="AH24" i="35"/>
  <c r="O24" i="38"/>
  <c r="P21" i="38"/>
  <c r="P23" i="38" s="1"/>
  <c r="AH25" i="35"/>
  <c r="AH28" i="35" l="1"/>
  <c r="AH27" i="35"/>
  <c r="AI24" i="35"/>
  <c r="P24" i="38"/>
  <c r="Q21" i="38"/>
  <c r="Q23" i="38" s="1"/>
  <c r="AI25" i="35"/>
  <c r="AI28" i="35" l="1"/>
  <c r="AI27" i="35"/>
  <c r="AJ24" i="35"/>
  <c r="Q24" i="38"/>
  <c r="R21" i="38"/>
  <c r="R23" i="38" s="1"/>
  <c r="AJ25" i="35"/>
  <c r="AJ28" i="35" l="1"/>
  <c r="AJ27" i="35"/>
  <c r="AK24" i="35"/>
  <c r="R24" i="38"/>
  <c r="S21" i="38"/>
  <c r="S23" i="38" s="1"/>
  <c r="AK25" i="35"/>
  <c r="AK27" i="35" l="1"/>
  <c r="AK28" i="35"/>
  <c r="AL24" i="35"/>
  <c r="S24" i="38"/>
  <c r="T21" i="38"/>
  <c r="T23" i="38" s="1"/>
  <c r="AL25" i="35"/>
  <c r="AL27" i="35" l="1"/>
  <c r="AL28" i="35"/>
  <c r="AM24" i="35"/>
  <c r="T24" i="38"/>
  <c r="U21" i="38"/>
  <c r="U23" i="38" s="1"/>
  <c r="AM25" i="35"/>
  <c r="AQ31" i="35" l="1"/>
  <c r="AP31" i="35"/>
  <c r="Y31" i="35" s="1"/>
  <c r="AM27" i="35"/>
  <c r="AM28" i="35"/>
  <c r="AN24" i="35"/>
  <c r="U24" i="38"/>
  <c r="AN25" i="35"/>
  <c r="Z32" i="35" s="1"/>
  <c r="AN28" i="35" l="1"/>
  <c r="AN27" i="35"/>
  <c r="U25" i="38" l="1"/>
  <c r="D22" i="38" s="1"/>
  <c r="E22" i="38" s="1"/>
  <c r="F22" i="38" s="1"/>
  <c r="G22" i="38" s="1"/>
  <c r="H22" i="38" s="1"/>
  <c r="I22" i="38" s="1"/>
  <c r="J22" i="38" s="1"/>
  <c r="K22" i="38" s="1"/>
  <c r="L22" i="38" s="1"/>
  <c r="M22" i="38" s="1"/>
  <c r="N22" i="38" s="1"/>
  <c r="O22" i="38" s="1"/>
  <c r="P22" i="38" s="1"/>
  <c r="Q22" i="38" s="1"/>
  <c r="R22" i="38" s="1"/>
  <c r="S22" i="38" s="1"/>
  <c r="T22" i="38" s="1"/>
  <c r="AN26" i="35"/>
  <c r="Z31" i="35" s="1"/>
  <c r="W26" i="35" l="1"/>
  <c r="D25" i="38"/>
  <c r="X26" i="35" l="1"/>
  <c r="E25" i="38"/>
  <c r="Y26" i="35" l="1"/>
  <c r="F25" i="38"/>
  <c r="G25" i="38" l="1"/>
  <c r="Z26" i="35"/>
  <c r="H25" i="38" l="1"/>
  <c r="AA26" i="35"/>
  <c r="I25" i="38" l="1"/>
  <c r="AB26" i="35"/>
  <c r="J25" i="38" l="1"/>
  <c r="AC26" i="35"/>
  <c r="K25" i="38" l="1"/>
  <c r="AD26" i="35"/>
  <c r="L25" i="38" l="1"/>
  <c r="AE26" i="35"/>
  <c r="M25" i="38" l="1"/>
  <c r="AF26" i="35"/>
  <c r="N25" i="38" l="1"/>
  <c r="AG26" i="35"/>
  <c r="O25" i="38" l="1"/>
  <c r="AH26" i="35"/>
  <c r="AI26" i="35" l="1"/>
  <c r="P25" i="38"/>
  <c r="AJ26" i="35" l="1"/>
  <c r="Q25" i="38"/>
  <c r="AK26" i="35" l="1"/>
  <c r="R25" i="38"/>
  <c r="S25" i="38" l="1"/>
  <c r="AL26" i="35"/>
  <c r="T25" i="38" l="1"/>
  <c r="AM26"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Shipra Srihari</author>
    <author>SSrihari</author>
    <author>carcher</author>
    <author>Chantelle Archer</author>
  </authors>
  <commentList>
    <comment ref="AD3" authorId="0" shapeId="0" xr:uid="{00000000-0006-0000-0F00-000001000000}">
      <text>
        <r>
          <rPr>
            <b/>
            <sz val="9"/>
            <color indexed="81"/>
            <rFont val="Tahoma"/>
            <family val="2"/>
          </rPr>
          <t>Shipra Srihari:</t>
        </r>
        <r>
          <rPr>
            <sz val="9"/>
            <color indexed="81"/>
            <rFont val="Tahoma"/>
            <family val="2"/>
          </rPr>
          <t xml:space="preserve">
Values all verified. Some do not match up to UN table which seems to be erroneus at times. A few DHS values are off by 0.1 or 0.2 but we went with our sums instead of report values for the purpose of normalizing method mix data.</t>
        </r>
      </text>
    </comment>
    <comment ref="AE7" authorId="1" shapeId="0" xr:uid="{00000000-0006-0000-0F00-000002000000}">
      <text>
        <r>
          <rPr>
            <b/>
            <sz val="9"/>
            <color indexed="81"/>
            <rFont val="Tahoma"/>
            <family val="2"/>
          </rPr>
          <t>SSrihari:</t>
        </r>
        <r>
          <rPr>
            <sz val="9"/>
            <color indexed="81"/>
            <rFont val="Tahoma"/>
            <family val="2"/>
          </rPr>
          <t xml:space="preserve">
Report sum seems to be incorrect</t>
        </r>
      </text>
    </comment>
    <comment ref="AD10" authorId="2" shapeId="0" xr:uid="{00000000-0006-0000-0F00-000003000000}">
      <text>
        <r>
          <rPr>
            <b/>
            <sz val="9"/>
            <color indexed="81"/>
            <rFont val="Tahoma"/>
            <family val="2"/>
          </rPr>
          <t>carcher:</t>
        </r>
        <r>
          <rPr>
            <sz val="9"/>
            <color indexed="81"/>
            <rFont val="Tahoma"/>
            <family val="2"/>
          </rPr>
          <t xml:space="preserve">
Added in trad method use as different between CPR and mCPR</t>
        </r>
      </text>
    </comment>
    <comment ref="AE13" authorId="1" shapeId="0" xr:uid="{00000000-0006-0000-0F00-000004000000}">
      <text>
        <r>
          <rPr>
            <b/>
            <sz val="9"/>
            <color indexed="81"/>
            <rFont val="Tahoma"/>
            <family val="2"/>
          </rPr>
          <t>SSrihari:</t>
        </r>
        <r>
          <rPr>
            <sz val="9"/>
            <color indexed="81"/>
            <rFont val="Tahoma"/>
            <family val="2"/>
          </rPr>
          <t xml:space="preserve">
removed LAM of 4.9</t>
        </r>
      </text>
    </comment>
    <comment ref="AE15" authorId="1" shapeId="0" xr:uid="{00000000-0006-0000-0F00-000005000000}">
      <text>
        <r>
          <rPr>
            <b/>
            <sz val="9"/>
            <color indexed="81"/>
            <rFont val="Tahoma"/>
            <family val="2"/>
          </rPr>
          <t>SSrihari:</t>
        </r>
        <r>
          <rPr>
            <sz val="9"/>
            <color indexed="81"/>
            <rFont val="Tahoma"/>
            <family val="2"/>
          </rPr>
          <t xml:space="preserve">
LAM of 1 excluded</t>
        </r>
      </text>
    </comment>
    <comment ref="AE20" authorId="0" shapeId="0" xr:uid="{00000000-0006-0000-0F00-000006000000}">
      <text>
        <r>
          <rPr>
            <b/>
            <sz val="9"/>
            <color indexed="81"/>
            <rFont val="Tahoma"/>
            <family val="2"/>
          </rPr>
          <t>Shipra Srihari:</t>
        </r>
        <r>
          <rPr>
            <sz val="9"/>
            <color indexed="81"/>
            <rFont val="Tahoma"/>
            <family val="2"/>
          </rPr>
          <t xml:space="preserve">
from UN table
</t>
        </r>
      </text>
    </comment>
    <comment ref="AE21" authorId="0" shapeId="0" xr:uid="{B990689C-8516-4156-8325-A0B3EA0AFE04}">
      <text>
        <r>
          <rPr>
            <b/>
            <sz val="9"/>
            <color indexed="81"/>
            <rFont val="Tahoma"/>
            <family val="2"/>
          </rPr>
          <t>Shipra Srihari:</t>
        </r>
        <r>
          <rPr>
            <sz val="9"/>
            <color indexed="81"/>
            <rFont val="Tahoma"/>
            <family val="2"/>
          </rPr>
          <t xml:space="preserve">
from UN table
</t>
        </r>
      </text>
    </comment>
    <comment ref="X22" authorId="2" shapeId="0" xr:uid="{00000000-0006-0000-0F00-000007000000}">
      <text>
        <r>
          <rPr>
            <b/>
            <sz val="9"/>
            <color indexed="81"/>
            <rFont val="Tahoma"/>
            <family val="2"/>
          </rPr>
          <t>carcher:</t>
        </r>
        <r>
          <rPr>
            <sz val="9"/>
            <color indexed="81"/>
            <rFont val="Tahoma"/>
            <family val="2"/>
          </rPr>
          <t xml:space="preserve">
LAM (1.) was removed from 'Any traditional method'</t>
        </r>
      </text>
    </comment>
    <comment ref="AE23" authorId="0" shapeId="0" xr:uid="{2FF824D0-25FD-45DB-96AF-16988DD44136}">
      <text>
        <r>
          <rPr>
            <b/>
            <sz val="9"/>
            <color indexed="81"/>
            <rFont val="Tahoma"/>
            <family val="2"/>
          </rPr>
          <t>Shipra Srihari:</t>
        </r>
        <r>
          <rPr>
            <sz val="9"/>
            <color indexed="81"/>
            <rFont val="Tahoma"/>
            <family val="2"/>
          </rPr>
          <t xml:space="preserve">
from UN table
</t>
        </r>
      </text>
    </comment>
    <comment ref="AE24" authorId="0" shapeId="0" xr:uid="{6A0E9283-2E83-4C05-9572-33C2A4D0C760}">
      <text>
        <r>
          <rPr>
            <b/>
            <sz val="9"/>
            <color indexed="81"/>
            <rFont val="Tahoma"/>
            <family val="2"/>
          </rPr>
          <t>Shipra Srihari:</t>
        </r>
        <r>
          <rPr>
            <sz val="9"/>
            <color indexed="81"/>
            <rFont val="Tahoma"/>
            <family val="2"/>
          </rPr>
          <t xml:space="preserve">
from UN table
</t>
        </r>
      </text>
    </comment>
    <comment ref="AE25" authorId="0" shapeId="0" xr:uid="{0B5EA5E6-B7AD-4DC1-B393-D4FFD3D21B3E}">
      <text>
        <r>
          <rPr>
            <b/>
            <sz val="9"/>
            <color indexed="81"/>
            <rFont val="Tahoma"/>
            <family val="2"/>
          </rPr>
          <t>Shipra Srihari:</t>
        </r>
        <r>
          <rPr>
            <sz val="9"/>
            <color indexed="81"/>
            <rFont val="Tahoma"/>
            <family val="2"/>
          </rPr>
          <t xml:space="preserve">
from UN table
</t>
        </r>
      </text>
    </comment>
    <comment ref="AE26" authorId="0" shapeId="0" xr:uid="{41414BE7-7FE2-4772-A3F0-BC8638905D9B}">
      <text>
        <r>
          <rPr>
            <b/>
            <sz val="9"/>
            <color indexed="81"/>
            <rFont val="Tahoma"/>
            <family val="2"/>
          </rPr>
          <t>Shipra Srihari:</t>
        </r>
        <r>
          <rPr>
            <sz val="9"/>
            <color indexed="81"/>
            <rFont val="Tahoma"/>
            <family val="2"/>
          </rPr>
          <t xml:space="preserve">
from UN table
</t>
        </r>
      </text>
    </comment>
    <comment ref="AE27" authorId="0" shapeId="0" xr:uid="{5C723D35-2010-434E-A3D0-E96213A8D635}">
      <text>
        <r>
          <rPr>
            <b/>
            <sz val="9"/>
            <color indexed="81"/>
            <rFont val="Tahoma"/>
            <family val="2"/>
          </rPr>
          <t>Shipra Srihari:</t>
        </r>
        <r>
          <rPr>
            <sz val="9"/>
            <color indexed="81"/>
            <rFont val="Tahoma"/>
            <family val="2"/>
          </rPr>
          <t xml:space="preserve">
from UN table
</t>
        </r>
      </text>
    </comment>
    <comment ref="AE31" authorId="0" shapeId="0" xr:uid="{5AE5ECB2-70A3-4412-B0DF-58FF853CF23F}">
      <text>
        <r>
          <rPr>
            <b/>
            <sz val="9"/>
            <color indexed="81"/>
            <rFont val="Tahoma"/>
            <family val="2"/>
          </rPr>
          <t>Shipra Srihari:</t>
        </r>
        <r>
          <rPr>
            <sz val="9"/>
            <color indexed="81"/>
            <rFont val="Tahoma"/>
            <family val="2"/>
          </rPr>
          <t xml:space="preserve">
from UN table
</t>
        </r>
      </text>
    </comment>
    <comment ref="AE32" authorId="0" shapeId="0" xr:uid="{C7FCDD1E-AE7E-4906-B4DA-25AB347A7E87}">
      <text>
        <r>
          <rPr>
            <b/>
            <sz val="9"/>
            <color indexed="81"/>
            <rFont val="Tahoma"/>
            <family val="2"/>
          </rPr>
          <t>Shipra Srihari:</t>
        </r>
        <r>
          <rPr>
            <sz val="9"/>
            <color indexed="81"/>
            <rFont val="Tahoma"/>
            <family val="2"/>
          </rPr>
          <t xml:space="preserve">
from UN table
</t>
        </r>
      </text>
    </comment>
    <comment ref="AE33" authorId="0" shapeId="0" xr:uid="{404A009C-7198-4C52-8449-9D5A8B9783D1}">
      <text>
        <r>
          <rPr>
            <b/>
            <sz val="9"/>
            <color indexed="81"/>
            <rFont val="Tahoma"/>
            <family val="2"/>
          </rPr>
          <t>Shipra Srihari:</t>
        </r>
        <r>
          <rPr>
            <sz val="9"/>
            <color indexed="81"/>
            <rFont val="Tahoma"/>
            <family val="2"/>
          </rPr>
          <t xml:space="preserve">
from UN table
</t>
        </r>
      </text>
    </comment>
    <comment ref="AE36" authorId="0" shapeId="0" xr:uid="{689B4291-F41C-43E1-A4F0-B090DF860FE3}">
      <text>
        <r>
          <rPr>
            <b/>
            <sz val="9"/>
            <color indexed="81"/>
            <rFont val="Tahoma"/>
            <family val="2"/>
          </rPr>
          <t>Shipra Srihari:</t>
        </r>
        <r>
          <rPr>
            <sz val="9"/>
            <color indexed="81"/>
            <rFont val="Tahoma"/>
            <family val="2"/>
          </rPr>
          <t xml:space="preserve">
from UN table
</t>
        </r>
      </text>
    </comment>
    <comment ref="AE39" authorId="0" shapeId="0" xr:uid="{C612CC83-1C6F-476E-B2B4-53E4EEBD9E2B}">
      <text>
        <r>
          <rPr>
            <b/>
            <sz val="9"/>
            <color indexed="81"/>
            <rFont val="Tahoma"/>
            <family val="2"/>
          </rPr>
          <t>Shipra Srihari:</t>
        </r>
        <r>
          <rPr>
            <sz val="9"/>
            <color indexed="81"/>
            <rFont val="Tahoma"/>
            <family val="2"/>
          </rPr>
          <t xml:space="preserve">
from UN table
</t>
        </r>
      </text>
    </comment>
    <comment ref="AE40" authorId="0" shapeId="0" xr:uid="{E5FDF60E-8BE3-428D-9935-F2A29EC50DCE}">
      <text>
        <r>
          <rPr>
            <b/>
            <sz val="9"/>
            <color indexed="81"/>
            <rFont val="Tahoma"/>
            <family val="2"/>
          </rPr>
          <t>Shipra Srihari:</t>
        </r>
        <r>
          <rPr>
            <sz val="9"/>
            <color indexed="81"/>
            <rFont val="Tahoma"/>
            <family val="2"/>
          </rPr>
          <t xml:space="preserve">
from UN table
</t>
        </r>
      </text>
    </comment>
    <comment ref="AE42" authorId="0" shapeId="0" xr:uid="{61EC802E-37B5-4388-9F31-982AED003956}">
      <text>
        <r>
          <rPr>
            <b/>
            <sz val="9"/>
            <color indexed="81"/>
            <rFont val="Tahoma"/>
            <family val="2"/>
          </rPr>
          <t>Shipra Srihari:</t>
        </r>
        <r>
          <rPr>
            <sz val="9"/>
            <color indexed="81"/>
            <rFont val="Tahoma"/>
            <family val="2"/>
          </rPr>
          <t xml:space="preserve">
from UN table
</t>
        </r>
      </text>
    </comment>
    <comment ref="AD43" authorId="3" shapeId="0" xr:uid="{00000000-0006-0000-0F00-00000A000000}">
      <text>
        <r>
          <rPr>
            <b/>
            <sz val="9"/>
            <color indexed="81"/>
            <rFont val="Tahoma"/>
            <family val="2"/>
          </rPr>
          <t>Chantelle Archer:</t>
        </r>
        <r>
          <rPr>
            <sz val="9"/>
            <color indexed="81"/>
            <rFont val="Tahoma"/>
            <family val="2"/>
          </rPr>
          <t xml:space="preserve">
The report says 9.3 but when you add up all the methods you get 8.6</t>
        </r>
      </text>
    </comment>
    <comment ref="AE44" authorId="0" shapeId="0" xr:uid="{34C046BA-81E4-4F1E-90F2-4248390458A0}">
      <text>
        <r>
          <rPr>
            <b/>
            <sz val="9"/>
            <color indexed="81"/>
            <rFont val="Tahoma"/>
            <family val="2"/>
          </rPr>
          <t>Shipra Srihari:</t>
        </r>
        <r>
          <rPr>
            <sz val="9"/>
            <color indexed="81"/>
            <rFont val="Tahoma"/>
            <family val="2"/>
          </rPr>
          <t xml:space="preserve">
from UN table
</t>
        </r>
      </text>
    </comment>
    <comment ref="AE45" authorId="0" shapeId="0" xr:uid="{E9CAE0D9-58AB-433C-A6A0-A87AD99CBFAA}">
      <text>
        <r>
          <rPr>
            <b/>
            <sz val="9"/>
            <color indexed="81"/>
            <rFont val="Tahoma"/>
            <family val="2"/>
          </rPr>
          <t>Shipra Srihari:</t>
        </r>
        <r>
          <rPr>
            <sz val="9"/>
            <color indexed="81"/>
            <rFont val="Tahoma"/>
            <family val="2"/>
          </rPr>
          <t xml:space="preserve">
from UN table
</t>
        </r>
      </text>
    </comment>
    <comment ref="AE49" authorId="0" shapeId="0" xr:uid="{CCD75D7F-F95F-4BB5-9CE4-6A546F9A5C57}">
      <text>
        <r>
          <rPr>
            <b/>
            <sz val="9"/>
            <color indexed="81"/>
            <rFont val="Tahoma"/>
            <family val="2"/>
          </rPr>
          <t>Shipra Srihari:</t>
        </r>
        <r>
          <rPr>
            <sz val="9"/>
            <color indexed="81"/>
            <rFont val="Tahoma"/>
            <family val="2"/>
          </rPr>
          <t xml:space="preserve">
from UN table
</t>
        </r>
      </text>
    </comment>
    <comment ref="AE50" authorId="0" shapeId="0" xr:uid="{376596AF-E10D-42C1-83B8-F479A1D53238}">
      <text>
        <r>
          <rPr>
            <b/>
            <sz val="9"/>
            <color indexed="81"/>
            <rFont val="Tahoma"/>
            <family val="2"/>
          </rPr>
          <t>Shipra Srihari:</t>
        </r>
        <r>
          <rPr>
            <sz val="9"/>
            <color indexed="81"/>
            <rFont val="Tahoma"/>
            <family val="2"/>
          </rPr>
          <t xml:space="preserve">
from UN table
</t>
        </r>
      </text>
    </comment>
    <comment ref="AE52" authorId="0" shapeId="0" xr:uid="{023F5B6C-7293-4C4B-A61B-035F620583A7}">
      <text>
        <r>
          <rPr>
            <b/>
            <sz val="9"/>
            <color indexed="81"/>
            <rFont val="Tahoma"/>
            <family val="2"/>
          </rPr>
          <t>Shipra Srihari:</t>
        </r>
        <r>
          <rPr>
            <sz val="9"/>
            <color indexed="81"/>
            <rFont val="Tahoma"/>
            <family val="2"/>
          </rPr>
          <t xml:space="preserve">
from UN table
</t>
        </r>
      </text>
    </comment>
    <comment ref="AE58" authorId="0" shapeId="0" xr:uid="{A0E51D76-66AE-4DC8-954F-3ADB3CB6FB1B}">
      <text>
        <r>
          <rPr>
            <b/>
            <sz val="9"/>
            <color indexed="81"/>
            <rFont val="Tahoma"/>
            <family val="2"/>
          </rPr>
          <t>Shipra Srihari:</t>
        </r>
        <r>
          <rPr>
            <sz val="9"/>
            <color indexed="81"/>
            <rFont val="Tahoma"/>
            <family val="2"/>
          </rPr>
          <t xml:space="preserve">
from UN table
</t>
        </r>
      </text>
    </comment>
    <comment ref="AE62" authorId="0" shapeId="0" xr:uid="{E3516200-3264-4450-A139-2434C518CDDE}">
      <text>
        <r>
          <rPr>
            <b/>
            <sz val="9"/>
            <color indexed="81"/>
            <rFont val="Tahoma"/>
            <family val="2"/>
          </rPr>
          <t>Shipra Srihari:</t>
        </r>
        <r>
          <rPr>
            <sz val="9"/>
            <color indexed="81"/>
            <rFont val="Tahoma"/>
            <family val="2"/>
          </rPr>
          <t xml:space="preserve">
from UN table
</t>
        </r>
      </text>
    </comment>
    <comment ref="AE68" authorId="0" shapeId="0" xr:uid="{03817730-8386-4E4B-B82F-28B1AF7B19AE}">
      <text>
        <r>
          <rPr>
            <b/>
            <sz val="9"/>
            <color indexed="81"/>
            <rFont val="Tahoma"/>
            <family val="2"/>
          </rPr>
          <t>Shipra Srihari:</t>
        </r>
        <r>
          <rPr>
            <sz val="9"/>
            <color indexed="81"/>
            <rFont val="Tahoma"/>
            <family val="2"/>
          </rPr>
          <t xml:space="preserve">
from UN table
</t>
        </r>
      </text>
    </comment>
    <comment ref="AE74" authorId="0" shapeId="0" xr:uid="{6786AD86-57D2-4F14-AF04-6D586880F53C}">
      <text>
        <r>
          <rPr>
            <b/>
            <sz val="9"/>
            <color indexed="81"/>
            <rFont val="Tahoma"/>
            <family val="2"/>
          </rPr>
          <t>Shipra Srihari:</t>
        </r>
        <r>
          <rPr>
            <sz val="9"/>
            <color indexed="81"/>
            <rFont val="Tahoma"/>
            <family val="2"/>
          </rPr>
          <t xml:space="preserve">
from UN table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tc={7C5FF806-2391-494C-B3B5-3EA160D2B192}</author>
    <author>tc={B8BDB258-32A5-43EE-B3D8-70CA0D21FD86}</author>
    <author>jwilliamson</author>
  </authors>
  <commentList>
    <comment ref="E12" authorId="0" shapeId="0" xr:uid="{7C5FF806-2391-494C-B3B5-3EA160D2B192}">
      <text>
        <t>[Threaded comment]
Your version of Excel allows you to read this threaded comment; however, any edits to it will get removed if the file is opened in a newer version of Excel. Learn more: https://go.microsoft.com/fwlink/?linkid=870924
Comment:
    Dec 2018 - Jan 2019</t>
      </text>
    </comment>
    <comment ref="D36" authorId="1" shapeId="0" xr:uid="{B8BDB258-32A5-43EE-B3D8-70CA0D21FD86}">
      <text>
        <t>[Threaded comment]
Your version of Excel allows you to read this threaded comment; however, any edits to it will get removed if the file is opened in a newer version of Excel. Learn more: https://go.microsoft.com/fwlink/?linkid=870924
Comment:
    Confirming PMA R included</t>
      </text>
    </comment>
    <comment ref="P69" authorId="2" shapeId="0" xr:uid="{1FF9D67C-590F-4E36-B15C-0FEFD5098147}">
      <text>
        <r>
          <rPr>
            <b/>
            <sz val="9"/>
            <color indexed="81"/>
            <rFont val="Tahoma"/>
            <family val="2"/>
          </rPr>
          <t>jwilliamson:</t>
        </r>
        <r>
          <rPr>
            <sz val="9"/>
            <color indexed="81"/>
            <rFont val="Tahoma"/>
            <family val="2"/>
          </rPr>
          <t xml:space="preserve">
Used .78 for Conversion factor in 2012, but then calculated 27.3/34.8 for all other years. </t>
        </r>
      </text>
    </comment>
  </commentList>
</comments>
</file>

<file path=xl/sharedStrings.xml><?xml version="1.0" encoding="utf-8"?>
<sst xmlns="http://schemas.openxmlformats.org/spreadsheetml/2006/main" count="4635" uniqueCount="1274">
  <si>
    <t>Female sterilization</t>
  </si>
  <si>
    <t>Male sterilization</t>
  </si>
  <si>
    <t>Pill</t>
  </si>
  <si>
    <t>IUD</t>
  </si>
  <si>
    <t>Injections</t>
  </si>
  <si>
    <t>Implants</t>
  </si>
  <si>
    <t>Method</t>
  </si>
  <si>
    <t>Total</t>
  </si>
  <si>
    <t>Source</t>
  </si>
  <si>
    <t>Number of unintended pregnancies</t>
  </si>
  <si>
    <t>Year</t>
  </si>
  <si>
    <t>LAM</t>
  </si>
  <si>
    <t>Language</t>
  </si>
  <si>
    <t>English</t>
  </si>
  <si>
    <t>Français</t>
  </si>
  <si>
    <t>Stérilisation féminine</t>
  </si>
  <si>
    <t>Injectables</t>
  </si>
  <si>
    <t>DIU</t>
  </si>
  <si>
    <t>Pilule</t>
  </si>
  <si>
    <t>Stérilisation masculine</t>
  </si>
  <si>
    <t>Méthod</t>
  </si>
  <si>
    <t>Langue</t>
  </si>
  <si>
    <t>MAMA</t>
  </si>
  <si>
    <t>Annual expenditures on family planning from domestic government budget</t>
  </si>
  <si>
    <t>Couple-years of protection (CYP)</t>
  </si>
  <si>
    <t>Number of unintended pregnancies averted due to modern contraceptive use</t>
  </si>
  <si>
    <t>Number of maternal deaths averted due to modern contraceptive use</t>
  </si>
  <si>
    <t>Number of unsafe abortions averted due to modern contraceptive use</t>
  </si>
  <si>
    <t>Indicator</t>
  </si>
  <si>
    <t>Country</t>
  </si>
  <si>
    <t>Bangladesh</t>
  </si>
  <si>
    <t>Burkina Faso</t>
  </si>
  <si>
    <t>Ethiopia</t>
  </si>
  <si>
    <t>Ghana</t>
  </si>
  <si>
    <t>India</t>
  </si>
  <si>
    <t>Indonesia</t>
  </si>
  <si>
    <t>Kenya</t>
  </si>
  <si>
    <t>Malawi</t>
  </si>
  <si>
    <t>Mozambique</t>
  </si>
  <si>
    <t>Niger</t>
  </si>
  <si>
    <t>Nigeria</t>
  </si>
  <si>
    <t>Pakistan</t>
  </si>
  <si>
    <t>Philippines</t>
  </si>
  <si>
    <t>Rwanda</t>
  </si>
  <si>
    <t>Senegal</t>
  </si>
  <si>
    <t>Sierra Leone</t>
  </si>
  <si>
    <t>Solomon Islands</t>
  </si>
  <si>
    <t>Uganda</t>
  </si>
  <si>
    <t>Zambia</t>
  </si>
  <si>
    <t>Zimbabwe</t>
  </si>
  <si>
    <t>Taux de prévalence contraceptive, méthodes modernes (mCPR)</t>
  </si>
  <si>
    <t>Nombre de grossesses non désirées</t>
  </si>
  <si>
    <t>Pays</t>
  </si>
  <si>
    <t>South Africa</t>
  </si>
  <si>
    <t>Afghanistan</t>
  </si>
  <si>
    <t>Benin</t>
  </si>
  <si>
    <t>Bhutan</t>
  </si>
  <si>
    <t>Burundi</t>
  </si>
  <si>
    <t>Cambodia</t>
  </si>
  <si>
    <t>Cameroon</t>
  </si>
  <si>
    <t>Chad</t>
  </si>
  <si>
    <t>Comoros</t>
  </si>
  <si>
    <t>Congo</t>
  </si>
  <si>
    <t>Côte d'Ivoire</t>
  </si>
  <si>
    <t>Djibouti</t>
  </si>
  <si>
    <t>Egypt</t>
  </si>
  <si>
    <t>Eritrea</t>
  </si>
  <si>
    <t>Gambia</t>
  </si>
  <si>
    <t>Guinea</t>
  </si>
  <si>
    <t>Guinea-Bissau</t>
  </si>
  <si>
    <t>Haiti</t>
  </si>
  <si>
    <t>Honduras</t>
  </si>
  <si>
    <t>Iraq</t>
  </si>
  <si>
    <t>Lesotho</t>
  </si>
  <si>
    <t>Liberia</t>
  </si>
  <si>
    <t>Madagascar</t>
  </si>
  <si>
    <t>Mali</t>
  </si>
  <si>
    <t>Mauritania</t>
  </si>
  <si>
    <t>Mongolia</t>
  </si>
  <si>
    <t>Myanmar</t>
  </si>
  <si>
    <t>Nepal</t>
  </si>
  <si>
    <t>Nicaragua</t>
  </si>
  <si>
    <t>Papua New Guinea</t>
  </si>
  <si>
    <t>Sao Tome and Principe</t>
  </si>
  <si>
    <t>Somalia</t>
  </si>
  <si>
    <t>South Sudan</t>
  </si>
  <si>
    <t>Sri Lanka</t>
  </si>
  <si>
    <t>Sudan</t>
  </si>
  <si>
    <t>Tajikistan</t>
  </si>
  <si>
    <t>Timor-Leste</t>
  </si>
  <si>
    <t>Togo</t>
  </si>
  <si>
    <t>Uzbekistan</t>
  </si>
  <si>
    <t>Viet Nam</t>
  </si>
  <si>
    <t>Western Sahara</t>
  </si>
  <si>
    <t>Yemen</t>
  </si>
  <si>
    <t>Modern contraceptive prevalence rate (mCPR), all women</t>
  </si>
  <si>
    <t>Standard Days Method</t>
  </si>
  <si>
    <t>Diaphragm/Foam/Jelly</t>
  </si>
  <si>
    <t>All women</t>
  </si>
  <si>
    <t>MJF/Collier</t>
  </si>
  <si>
    <t>Number of additional users of modern methods of contraception</t>
  </si>
  <si>
    <t>Percentage of women with an unmet need for modern methods of contraception</t>
  </si>
  <si>
    <t>Percentage of women whose demand is satisfied with a modern method of contraception</t>
  </si>
  <si>
    <t>Nombre de décès de mères évitées grâce à l’utilisation de contraceptifs modernes</t>
  </si>
  <si>
    <t>Nombre d’avortements à risque évités grâce à l’utilisation de contraceptifs modernes</t>
  </si>
  <si>
    <t>Nombre de grossesses non désirées évitées grâce à l’utilisation de contraceptifs modernes</t>
  </si>
  <si>
    <t>Did your FPET run include service statistics?</t>
  </si>
  <si>
    <t>Tell us about why you chose to use or exclude service statistics:</t>
  </si>
  <si>
    <t>Also please submit your FPET input CSV file that was used to generate these results.</t>
  </si>
  <si>
    <t>Number of women (15-49)*</t>
  </si>
  <si>
    <r>
      <t xml:space="preserve">Number of users of modern methods of contraception </t>
    </r>
    <r>
      <rPr>
        <b/>
        <i/>
        <sz val="11"/>
        <color theme="1"/>
        <rFont val="Calibri"/>
        <family val="2"/>
        <scheme val="minor"/>
      </rPr>
      <t>(not a core indicator)</t>
    </r>
  </si>
  <si>
    <r>
      <t>Autres m</t>
    </r>
    <r>
      <rPr>
        <sz val="11"/>
        <color rgb="FF203864"/>
        <rFont val="Arial"/>
        <family val="2"/>
      </rPr>
      <t>é</t>
    </r>
    <r>
      <rPr>
        <sz val="11"/>
        <color rgb="FF203864"/>
        <rFont val="Calibri"/>
        <family val="2"/>
        <scheme val="minor"/>
      </rPr>
      <t>thodes modernes</t>
    </r>
  </si>
  <si>
    <t>Other modern methods</t>
  </si>
  <si>
    <t>mCPR among married women</t>
  </si>
  <si>
    <t>TPC modern chez les femmes mariées</t>
  </si>
  <si>
    <t>DPR Korea</t>
  </si>
  <si>
    <t>Lao PDR</t>
  </si>
  <si>
    <t>State of Palestine</t>
  </si>
  <si>
    <t>Year of survey</t>
  </si>
  <si>
    <t>mCPR by method</t>
  </si>
  <si>
    <t>Source:</t>
  </si>
  <si>
    <t>Source (if changed default):</t>
  </si>
  <si>
    <t>Published CPR goal:</t>
  </si>
  <si>
    <t>Married women</t>
  </si>
  <si>
    <t>Please indicate (with an 'x') if the goal is for all methods or modern methods</t>
  </si>
  <si>
    <t>yes</t>
  </si>
  <si>
    <t>no</t>
  </si>
  <si>
    <t>Oui</t>
  </si>
  <si>
    <t>Non</t>
  </si>
  <si>
    <t>Click here for results</t>
  </si>
  <si>
    <t>Soumettre votre fichier CSV d'entrée de FPET qui a été utilisé pour générer ces résultats.</t>
  </si>
  <si>
    <t>French</t>
  </si>
  <si>
    <r>
      <t xml:space="preserve">Unmet need </t>
    </r>
    <r>
      <rPr>
        <i/>
        <u/>
        <sz val="11"/>
        <rFont val="Calibri"/>
        <family val="2"/>
        <scheme val="minor"/>
      </rPr>
      <t>for modern methods</t>
    </r>
    <r>
      <rPr>
        <sz val="11"/>
        <rFont val="Calibri"/>
        <family val="2"/>
        <scheme val="minor"/>
      </rPr>
      <t xml:space="preserve"> (married)</t>
    </r>
  </si>
  <si>
    <r>
      <t xml:space="preserve">Besoin non satisfait </t>
    </r>
    <r>
      <rPr>
        <i/>
        <u/>
        <sz val="11"/>
        <color theme="1"/>
        <rFont val="Calibri"/>
        <family val="2"/>
        <scheme val="minor"/>
      </rPr>
      <t>de méthodes modernes</t>
    </r>
    <r>
      <rPr>
        <i/>
        <sz val="11"/>
        <color theme="1"/>
        <rFont val="Calibri"/>
        <family val="2"/>
        <scheme val="minor"/>
      </rPr>
      <t xml:space="preserve"> </t>
    </r>
    <r>
      <rPr>
        <sz val="11"/>
        <color theme="1"/>
        <rFont val="Calibri"/>
        <family val="2"/>
        <scheme val="minor"/>
      </rPr>
      <t>(femmes mariées)</t>
    </r>
  </si>
  <si>
    <t xml:space="preserve">L'exécution de votre FPET inclut-elle les statistiques des services ? </t>
  </si>
  <si>
    <t>Dites-nous pourquoi vous avez choisi d'utiliser ou d'exclure les statistiques des services :</t>
  </si>
  <si>
    <t>Nombre de femmes (15-49)*</t>
  </si>
  <si>
    <t>Année de l'enquête</t>
  </si>
  <si>
    <t>(cela devrait s'ajouter à votre TPCM, pas 100%)</t>
  </si>
  <si>
    <t>Source :</t>
  </si>
  <si>
    <t>TPCM par méthode</t>
  </si>
  <si>
    <t>Cliquez ici pour les résultats</t>
  </si>
  <si>
    <t>Source (en cas de modification de la source par défaut) :</t>
  </si>
  <si>
    <t>Objectif du TPC publié:</t>
  </si>
  <si>
    <t>Veuillez indiquer (avec un "x") si l'objectif concerne toutes les méthodes ou les méthodes modernes</t>
  </si>
  <si>
    <t>Méthodes modernes</t>
  </si>
  <si>
    <t>Femmes mariées</t>
  </si>
  <si>
    <t>Toutes les femmes</t>
  </si>
  <si>
    <t>(this should add up to your mCPR, not 100%)</t>
  </si>
  <si>
    <t>Saisissez la prévalence des méthodes à partir de votre dernière enquête. Si la prévalence des méthodes pour toutes les femmes est disponible, veuillez l'utiliser</t>
  </si>
  <si>
    <t>Population (All Women or Married Women)</t>
  </si>
  <si>
    <t>If all-women method prevalence is available please use</t>
  </si>
  <si>
    <t>Si la prévalence des méthodes pour toutes les femmes est disponible, veuillez l'utiliser</t>
  </si>
  <si>
    <t>Fertility planning status</t>
  </si>
  <si>
    <t>Survey</t>
  </si>
  <si>
    <t>Time wanted pregnancy: Later</t>
  </si>
  <si>
    <t>Time wanted pregnancy: No more</t>
  </si>
  <si>
    <t>Wanted later</t>
  </si>
  <si>
    <t>Wanted no more</t>
  </si>
  <si>
    <t>South Asia Regional Average</t>
  </si>
  <si>
    <t>Albania</t>
  </si>
  <si>
    <t>Armenia</t>
  </si>
  <si>
    <t>Azerbaijan</t>
  </si>
  <si>
    <t>2006 DHS</t>
  </si>
  <si>
    <t>2011 DHS</t>
  </si>
  <si>
    <t>Bolivia</t>
  </si>
  <si>
    <t>2011-12 DHS</t>
  </si>
  <si>
    <t>2008 DHS</t>
  </si>
  <si>
    <t>Brazil</t>
  </si>
  <si>
    <t>1996 DHS</t>
  </si>
  <si>
    <t>2014 DHS</t>
  </si>
  <si>
    <t>Cape Verde</t>
  </si>
  <si>
    <t>1998 RHS</t>
  </si>
  <si>
    <t>1994-95 DHS</t>
  </si>
  <si>
    <t>Eastern and Southern Africa Regional Average</t>
  </si>
  <si>
    <t>Colombia</t>
  </si>
  <si>
    <t>Eastern and Central Asia Regional Average</t>
  </si>
  <si>
    <t>2012 DHS</t>
  </si>
  <si>
    <t>DR Congo</t>
  </si>
  <si>
    <t>Dominican Republic</t>
  </si>
  <si>
    <t>2013 DHS</t>
  </si>
  <si>
    <t>2013-14 DHS</t>
  </si>
  <si>
    <t>Ecuador</t>
  </si>
  <si>
    <t>2004 RHS</t>
  </si>
  <si>
    <t>El Salvador</t>
  </si>
  <si>
    <t>2008 RHS</t>
  </si>
  <si>
    <t>2002 DHS</t>
  </si>
  <si>
    <t>Gabon</t>
  </si>
  <si>
    <t>Georgia</t>
  </si>
  <si>
    <t>2005 RHS</t>
  </si>
  <si>
    <t>Guatemala</t>
  </si>
  <si>
    <t>2008-09 RHS</t>
  </si>
  <si>
    <t>Guyana</t>
  </si>
  <si>
    <t>2009 DHS</t>
  </si>
  <si>
    <t>Jamaica</t>
  </si>
  <si>
    <t>Jordan</t>
  </si>
  <si>
    <t>Kazakhstan</t>
  </si>
  <si>
    <t>1999 DHS</t>
  </si>
  <si>
    <t>Maldives</t>
  </si>
  <si>
    <t>Southeast Asia and Oceania Regional Average</t>
  </si>
  <si>
    <t>Moldova</t>
  </si>
  <si>
    <t>2005 DHS</t>
  </si>
  <si>
    <t>Morocco</t>
  </si>
  <si>
    <t>2003-04 DHS</t>
  </si>
  <si>
    <t>Namibia</t>
  </si>
  <si>
    <t>2006-07 RHS</t>
  </si>
  <si>
    <t>Paraguay</t>
  </si>
  <si>
    <t>Peru</t>
  </si>
  <si>
    <t>Romania</t>
  </si>
  <si>
    <t>1999 RHS</t>
  </si>
  <si>
    <t>Tanzania</t>
  </si>
  <si>
    <t>Swaziland</t>
  </si>
  <si>
    <t>2006-07 DHS</t>
  </si>
  <si>
    <t>Turkey</t>
  </si>
  <si>
    <t>2003 DHS</t>
  </si>
  <si>
    <t>Turkmenistan</t>
  </si>
  <si>
    <t>2000 DHS</t>
  </si>
  <si>
    <t>Ukraine</t>
  </si>
  <si>
    <t>2007 DHS</t>
  </si>
  <si>
    <t>Percent distribution of births in the five years preceding the survey by fertility planning status, according to birth order and mother's age at birth.</t>
  </si>
  <si>
    <t>Parameter</t>
  </si>
  <si>
    <t>Paramètre</t>
  </si>
  <si>
    <t>Percentage of unintended pregnancies terminated by abortion</t>
  </si>
  <si>
    <t>Mortality rate for unsafe abortions (per 100,000)</t>
  </si>
  <si>
    <t>Percentage of abortions that are unsafe</t>
  </si>
  <si>
    <t>Regional MMR</t>
  </si>
  <si>
    <t>Ratio of 'Mortality rate for unsafe abortions' to 'Regional MMR'</t>
  </si>
  <si>
    <t>[1]</t>
  </si>
  <si>
    <t>[2]</t>
  </si>
  <si>
    <t>[3]</t>
  </si>
  <si>
    <t>Pourcentage des grossesses non désirées interrompues par avortement</t>
  </si>
  <si>
    <t>Taux de mortalité des avortements dangereux (par 100,000)</t>
  </si>
  <si>
    <t>Pourcentage d'avortements sont dangereux</t>
  </si>
  <si>
    <t>Taux de mortalité maternelle regionale</t>
  </si>
  <si>
    <t>Ratio de 'Taux de mortalité des avortements dangereux’ a ‘Taux de mortalité maternelle regionale’</t>
  </si>
  <si>
    <t>Region</t>
  </si>
  <si>
    <t>Région</t>
  </si>
  <si>
    <t>All developing countries</t>
  </si>
  <si>
    <t>Africa</t>
  </si>
  <si>
    <t>Sub-Saharan Africa</t>
  </si>
  <si>
    <t>Eastern Africa</t>
  </si>
  <si>
    <t>Middle Africa</t>
  </si>
  <si>
    <t>Southern Africa</t>
  </si>
  <si>
    <t>Western Africa</t>
  </si>
  <si>
    <t>Northern Africa</t>
  </si>
  <si>
    <t>Asia</t>
  </si>
  <si>
    <t>East Asia, incl. China</t>
  </si>
  <si>
    <t>Southeast Asia</t>
  </si>
  <si>
    <t>Oceania</t>
  </si>
  <si>
    <t>Western Asia</t>
  </si>
  <si>
    <t>Latin America and the Caribbean</t>
  </si>
  <si>
    <t>Caribbean</t>
  </si>
  <si>
    <t>Central America</t>
  </si>
  <si>
    <t>South America</t>
  </si>
  <si>
    <t>Sources:</t>
  </si>
  <si>
    <t>Value</t>
  </si>
  <si>
    <t>Valeur</t>
  </si>
  <si>
    <t>Definition/Source</t>
  </si>
  <si>
    <t>Dèfinition/Source</t>
  </si>
  <si>
    <t>Pregnancy rate</t>
  </si>
  <si>
    <t>Taux de grossesses</t>
  </si>
  <si>
    <t>Proportion of women using contraception who would become pregnant within one year if they no longer used contraception</t>
  </si>
  <si>
    <t>Proportion des femmes utilisant la contraception qui allaient devenir enceinte  pendant un an s'elles ne sont plus utilisèes contraception</t>
  </si>
  <si>
    <t>Miscarriage/still birth rate</t>
  </si>
  <si>
    <t>Taux de fausse couche</t>
  </si>
  <si>
    <t>Percentage of pregnancies ending in miscarriage or still birth</t>
  </si>
  <si>
    <t>Pourcentage des grossesses se terminant en fausse couche</t>
  </si>
  <si>
    <t>Bongaarts and Potter, 1983</t>
  </si>
  <si>
    <t>Bongaarts et Potter, 1983</t>
  </si>
  <si>
    <t>Method failure rates</t>
  </si>
  <si>
    <t>Les taux d'échec</t>
  </si>
  <si>
    <t>Proportion of women using a method who will become pregnant in a year due to failure of the method</t>
  </si>
  <si>
    <t>Pourcentage des femmes utilisants une méthode  qui va tomber enceinte dans une année en raison de l'échec de la methode</t>
  </si>
  <si>
    <t>Trussell, 2011</t>
  </si>
  <si>
    <t>References</t>
  </si>
  <si>
    <r>
      <t xml:space="preserve">Bongaarts J, Potter RG. 1983. </t>
    </r>
    <r>
      <rPr>
        <i/>
        <sz val="11"/>
        <color theme="1"/>
        <rFont val="Calibri"/>
        <family val="2"/>
      </rPr>
      <t>Fertility, Biology and Behavior: An Analysis of the Proximate Determinants</t>
    </r>
    <r>
      <rPr>
        <sz val="11"/>
        <color theme="1"/>
        <rFont val="Calibri"/>
        <family val="2"/>
        <scheme val="minor"/>
      </rPr>
      <t>. New York: Academic Press.</t>
    </r>
  </si>
  <si>
    <t>Cleland J, Ali MM and Shah I, Dynamics of contraceptive use, in: United Nations</t>
  </si>
  <si>
    <t>Department of Economic and Social Affairs, Population Division, Levels and Trends of</t>
  </si>
  <si>
    <t>Contraceptive Use as Assessed in 2002, New York: United Nations, 2006, pp. 87–115, Table 22, page 98.</t>
  </si>
  <si>
    <t>Trussell J, Contraceptive failure in the United States, Contraception, May 2011; 83(5): 397-404.</t>
  </si>
  <si>
    <t>WORLD</t>
  </si>
  <si>
    <t>More developed regions</t>
  </si>
  <si>
    <t>Less developed regions</t>
  </si>
  <si>
    <t>Least developed countries</t>
  </si>
  <si>
    <t>Less developed regions, excluding least developed countries</t>
  </si>
  <si>
    <t>Less developed regions, excluding China</t>
  </si>
  <si>
    <t>AFRICA</t>
  </si>
  <si>
    <t>Mauritius</t>
  </si>
  <si>
    <t>Mayotte</t>
  </si>
  <si>
    <t>Réunion</t>
  </si>
  <si>
    <t>Seychelles</t>
  </si>
  <si>
    <t>Angola</t>
  </si>
  <si>
    <t>Equatorial Guinea</t>
  </si>
  <si>
    <t>Algeria</t>
  </si>
  <si>
    <t>Libya</t>
  </si>
  <si>
    <t>Tunisia</t>
  </si>
  <si>
    <t>Botswana</t>
  </si>
  <si>
    <t>ASIA</t>
  </si>
  <si>
    <t>Eastern Asia</t>
  </si>
  <si>
    <t>China</t>
  </si>
  <si>
    <t>China, Hong Kong SAR</t>
  </si>
  <si>
    <t>China, Macao SAR</t>
  </si>
  <si>
    <t>Japan</t>
  </si>
  <si>
    <t>Republic of Korea</t>
  </si>
  <si>
    <t>Other non-specified areas</t>
  </si>
  <si>
    <t>Central Asia</t>
  </si>
  <si>
    <t>Southern Asia</t>
  </si>
  <si>
    <t>Iran (Islamic Republic of)</t>
  </si>
  <si>
    <t>South-Eastern Asia</t>
  </si>
  <si>
    <t>Brunei Darussalam</t>
  </si>
  <si>
    <t>Malaysia</t>
  </si>
  <si>
    <t>Singapore</t>
  </si>
  <si>
    <t>Thailand</t>
  </si>
  <si>
    <t>Bahrain</t>
  </si>
  <si>
    <t>Cyprus</t>
  </si>
  <si>
    <t>Israel</t>
  </si>
  <si>
    <t>Kuwait</t>
  </si>
  <si>
    <t>Lebanon</t>
  </si>
  <si>
    <t>Oman</t>
  </si>
  <si>
    <t>Qatar</t>
  </si>
  <si>
    <t>Saudi Arabia</t>
  </si>
  <si>
    <t>Syrian Arab Republic</t>
  </si>
  <si>
    <t>United Arab Emirates</t>
  </si>
  <si>
    <t>EUROPE</t>
  </si>
  <si>
    <t>Eastern Europe</t>
  </si>
  <si>
    <t>Belarus</t>
  </si>
  <si>
    <t>Bulgaria</t>
  </si>
  <si>
    <t>Czech Republic</t>
  </si>
  <si>
    <t>Hungary</t>
  </si>
  <si>
    <t>Poland</t>
  </si>
  <si>
    <t>Republic of Moldova</t>
  </si>
  <si>
    <t>Russian Federation</t>
  </si>
  <si>
    <t>Slovakia</t>
  </si>
  <si>
    <t>Northern Europe</t>
  </si>
  <si>
    <t>Channel Islands</t>
  </si>
  <si>
    <t>Denmark</t>
  </si>
  <si>
    <t>Estonia</t>
  </si>
  <si>
    <t>Finland</t>
  </si>
  <si>
    <t>Iceland</t>
  </si>
  <si>
    <t>Ireland</t>
  </si>
  <si>
    <t>Latvia</t>
  </si>
  <si>
    <t>Lithuania</t>
  </si>
  <si>
    <t>Norway</t>
  </si>
  <si>
    <t>Sweden</t>
  </si>
  <si>
    <t>United Kingdom</t>
  </si>
  <si>
    <t>Southern Europe</t>
  </si>
  <si>
    <t>Bosnia and Herzegovina</t>
  </si>
  <si>
    <t>Croatia</t>
  </si>
  <si>
    <t>Greece</t>
  </si>
  <si>
    <t>Italy</t>
  </si>
  <si>
    <t>Malta</t>
  </si>
  <si>
    <t>Montenegro</t>
  </si>
  <si>
    <t>Portugal</t>
  </si>
  <si>
    <t>Serbia</t>
  </si>
  <si>
    <t>Slovenia</t>
  </si>
  <si>
    <t>Spain</t>
  </si>
  <si>
    <t>Western Europe</t>
  </si>
  <si>
    <t>Austria</t>
  </si>
  <si>
    <t>Belgium</t>
  </si>
  <si>
    <t>France</t>
  </si>
  <si>
    <t>Germany</t>
  </si>
  <si>
    <t>Luxembourg</t>
  </si>
  <si>
    <t>Netherlands</t>
  </si>
  <si>
    <t>Switzerland</t>
  </si>
  <si>
    <t>LATIN AMERICA AND THE CARIBBEAN</t>
  </si>
  <si>
    <t>Antigua and Barbuda</t>
  </si>
  <si>
    <t>Aruba</t>
  </si>
  <si>
    <t>Bahamas</t>
  </si>
  <si>
    <t>Barbados</t>
  </si>
  <si>
    <t>Cuba</t>
  </si>
  <si>
    <t>Curaçao</t>
  </si>
  <si>
    <t>Grenada</t>
  </si>
  <si>
    <t>Guadeloupe</t>
  </si>
  <si>
    <t>Martinique</t>
  </si>
  <si>
    <t>Puerto Rico</t>
  </si>
  <si>
    <t>Saint Lucia</t>
  </si>
  <si>
    <t>Saint Vincent and the Grenadines</t>
  </si>
  <si>
    <t>Trinidad and Tobago</t>
  </si>
  <si>
    <t>United States Virgin Islands</t>
  </si>
  <si>
    <t>Belize</t>
  </si>
  <si>
    <t>Costa Rica</t>
  </si>
  <si>
    <t>Mexico</t>
  </si>
  <si>
    <t>Panama</t>
  </si>
  <si>
    <t>Argentina</t>
  </si>
  <si>
    <t>Chile</t>
  </si>
  <si>
    <t>French Guiana</t>
  </si>
  <si>
    <t>Suriname</t>
  </si>
  <si>
    <t>Uruguay</t>
  </si>
  <si>
    <t>Venezuela (Bolivarian Republic of)</t>
  </si>
  <si>
    <t>NORTHERN AMERICA</t>
  </si>
  <si>
    <t>Canada</t>
  </si>
  <si>
    <t>United States of America</t>
  </si>
  <si>
    <t>OCEANIA</t>
  </si>
  <si>
    <t>Australia/New Zealand</t>
  </si>
  <si>
    <t>Australia</t>
  </si>
  <si>
    <t>New Zealand</t>
  </si>
  <si>
    <t>Melanesia</t>
  </si>
  <si>
    <t>Fiji</t>
  </si>
  <si>
    <t>New Caledonia</t>
  </si>
  <si>
    <t>Vanuatu</t>
  </si>
  <si>
    <t>Micronesia</t>
  </si>
  <si>
    <t>Guam</t>
  </si>
  <si>
    <t>Kiribati</t>
  </si>
  <si>
    <t>Micronesia (Fed. States of)</t>
  </si>
  <si>
    <t>Polynesia</t>
  </si>
  <si>
    <t>French Polynesia</t>
  </si>
  <si>
    <t>Samoa</t>
  </si>
  <si>
    <t>Tonga</t>
  </si>
  <si>
    <t>(used to select correct regional assumptions)</t>
  </si>
  <si>
    <r>
      <t>(</t>
    </r>
    <r>
      <rPr>
        <i/>
        <sz val="11"/>
        <color theme="1"/>
        <rFont val="Calibri"/>
        <family val="2"/>
        <scheme val="minor"/>
      </rPr>
      <t>utilisé pour sélectionner de bonnes hypothèses régionales)</t>
    </r>
  </si>
  <si>
    <t>Annual number of live births</t>
  </si>
  <si>
    <t>Nombre total d'enfants nés vivants</t>
  </si>
  <si>
    <t>*To get these from Spectrum-- run DemProj on Easy Proj, and pick 'live births' as your result.</t>
  </si>
  <si>
    <t xml:space="preserve">*Pour les obtenir à partir de Spectrum -- Veuillez exécuter DemProj sur EasyProj, et sélectionnez 'naissances vivantes' pour votre résultat. </t>
  </si>
  <si>
    <t>Data has been pre-populated from your latest DHS, if available, or using regional estimates.  You may wish to update this with a different source (e.g. PMA2020).  These results are usually found under the heading Fertility Preferences.</t>
  </si>
  <si>
    <t>Percent of births</t>
  </si>
  <si>
    <t>Pour cent des vivants</t>
  </si>
  <si>
    <t xml:space="preserve">  Wanted later</t>
  </si>
  <si>
    <t xml:space="preserve">  Voulue plus tard</t>
  </si>
  <si>
    <t xml:space="preserve">  Non désirée</t>
  </si>
  <si>
    <t>MMR</t>
  </si>
  <si>
    <t>TMM</t>
  </si>
  <si>
    <t>Maternal deaths per 100,000 live births</t>
  </si>
  <si>
    <t>Taux de mortalité maternelle</t>
  </si>
  <si>
    <r>
      <t xml:space="preserve">This must be for </t>
    </r>
    <r>
      <rPr>
        <u/>
        <sz val="11"/>
        <color theme="1"/>
        <rFont val="Calibri"/>
        <family val="2"/>
        <scheme val="minor"/>
      </rPr>
      <t>all</t>
    </r>
    <r>
      <rPr>
        <sz val="11"/>
        <color theme="1"/>
        <rFont val="Calibri"/>
        <family val="2"/>
        <scheme val="minor"/>
      </rPr>
      <t xml:space="preserve"> women.    This is the method mix (e.g. total sums to 100%), not prevalence by method.</t>
    </r>
  </si>
  <si>
    <r>
      <t xml:space="preserve">Elle doit concerner </t>
    </r>
    <r>
      <rPr>
        <u/>
        <sz val="11"/>
        <color theme="1"/>
        <rFont val="Calibri"/>
        <family val="2"/>
        <scheme val="minor"/>
      </rPr>
      <t>toutes</t>
    </r>
    <r>
      <rPr>
        <sz val="11"/>
        <color theme="1"/>
        <rFont val="Calibri"/>
        <family val="2"/>
        <scheme val="minor"/>
      </rPr>
      <t xml:space="preserve"> les femmes. Il s'agit de la gamme de méthodes (par exemple, la somme totale est 100%), et non de la prévalence par méthode.</t>
    </r>
  </si>
  <si>
    <t>1) If your latest survey only has married women, please use an older survey with all women.</t>
  </si>
  <si>
    <t xml:space="preserve">1) Si votre dernière enquête ne mentionne que les femmes mariées, veuillez utiliser une enquête plus ancienne avec toutes les femmes. </t>
  </si>
  <si>
    <t>2) If you have never had an all women survey in your country, you can use a married women method mix.</t>
  </si>
  <si>
    <t xml:space="preserve">2) Si vous n'avez jamais eu d'enquêtes pour toutes les femmes dans votre pays,vous pouvez utiliser une gamme de méthodes pour les femmes mariées. </t>
  </si>
  <si>
    <t xml:space="preserve">  Please note this:</t>
  </si>
  <si>
    <t>Remarque :</t>
  </si>
  <si>
    <t xml:space="preserve">3) Si vous avez utilisé la prévalence des méthodes pour toutes les femmes, pour l'Indicateur 1b, vous pouvez copier / coller ici la gamme de méthodes. </t>
  </si>
  <si>
    <t>If you have multiple surveys over the time period you can change the method mix in different years, otherwise, you can use the same mix for all years.</t>
  </si>
  <si>
    <t xml:space="preserve">Si vous avez plusieurs enquêtes couvrant la période de temps, vous pouvez changer la gamme de méthodes dans différentes années. Sinon, vous pouvez utiliser la même gamme pour toutes les années. </t>
  </si>
  <si>
    <t>Please enter %s as whole numbers-- e.g. 10% should be entered as 10.0</t>
  </si>
  <si>
    <t>Veuillez saisir les %s en nombres entiers --par exemple, 10% devrait être saisi sous forme de 10.0</t>
  </si>
  <si>
    <t>LAM &amp; Other Modern Methods</t>
  </si>
  <si>
    <t>MAMA &amp; Autres méthodes modernes</t>
  </si>
  <si>
    <t>Must sum to 100%</t>
  </si>
  <si>
    <t>Doit totaliser 100%</t>
  </si>
  <si>
    <t>This is used to calculate users by method to determine pregnancies averted</t>
  </si>
  <si>
    <t>Regional</t>
  </si>
  <si>
    <t>régional</t>
  </si>
  <si>
    <t>Percent of abortions that are unsafe</t>
  </si>
  <si>
    <t>Mortality from unsafe abortion (per 100,000)</t>
  </si>
  <si>
    <t>regional ratio applied to country MMR</t>
  </si>
  <si>
    <t>Rapport régional appliqué à l'autre TMM</t>
  </si>
  <si>
    <t>Mortality from safe abortion (per 100,000)</t>
  </si>
  <si>
    <t>Taux de mortalité des avortment pas dangereux (par 100,000)</t>
  </si>
  <si>
    <t>global</t>
  </si>
  <si>
    <t>mondial</t>
  </si>
  <si>
    <t>Country input</t>
  </si>
  <si>
    <t>Entrée de Pays</t>
  </si>
  <si>
    <t>Percent of pregnancies</t>
  </si>
  <si>
    <t>Pour cent des grossesses</t>
  </si>
  <si>
    <t xml:space="preserve">  wanted later</t>
  </si>
  <si>
    <t>wanted no more</t>
  </si>
  <si>
    <t>Abortions</t>
  </si>
  <si>
    <t>Avortements</t>
  </si>
  <si>
    <t>used for MMR: live birth</t>
  </si>
  <si>
    <t>utilisé pour TMM:  naissances</t>
  </si>
  <si>
    <t>Miscarriages</t>
  </si>
  <si>
    <t>Fausse couches</t>
  </si>
  <si>
    <t>MMR: live births</t>
  </si>
  <si>
    <t>TMM: naissances</t>
  </si>
  <si>
    <t>Calculated</t>
  </si>
  <si>
    <t>calculé</t>
  </si>
  <si>
    <t>Calculations:</t>
  </si>
  <si>
    <t>Calculs :</t>
  </si>
  <si>
    <t>Live births (from input)</t>
  </si>
  <si>
    <t>Estimated number of pregnancies</t>
  </si>
  <si>
    <t>Nombres de grossesses</t>
  </si>
  <si>
    <t>Nombres de grossesses non désirées</t>
  </si>
  <si>
    <t>Users by method:</t>
  </si>
  <si>
    <t>Utilisateurs par la méthode :</t>
  </si>
  <si>
    <t>Pregnancies due to method failure:</t>
  </si>
  <si>
    <t>Grossesses en raison échec de la méthode</t>
  </si>
  <si>
    <t>Pregnancies if no modern methods</t>
  </si>
  <si>
    <t>Grossesses sans méthodes modernes</t>
  </si>
  <si>
    <t>Pregnancies averted by modern use</t>
  </si>
  <si>
    <r>
      <t xml:space="preserve">Grossesses évitées </t>
    </r>
    <r>
      <rPr>
        <sz val="11"/>
        <color theme="1"/>
        <rFont val="Calibri"/>
        <family val="2"/>
        <scheme val="minor"/>
      </rPr>
      <t>par l'utilisation d'une contraception moderne</t>
    </r>
  </si>
  <si>
    <t>Abortions averted by modern use</t>
  </si>
  <si>
    <r>
      <t xml:space="preserve">Avortements évitées </t>
    </r>
    <r>
      <rPr>
        <sz val="11"/>
        <color theme="1"/>
        <rFont val="Calibri"/>
        <family val="2"/>
        <scheme val="minor"/>
      </rPr>
      <t>par l'utilisation d'une contraception moderne</t>
    </r>
  </si>
  <si>
    <t>Unsafe abortions averted by modern use</t>
  </si>
  <si>
    <r>
      <t xml:space="preserve">Avortements dangereux évitées </t>
    </r>
    <r>
      <rPr>
        <sz val="11"/>
        <color theme="1"/>
        <rFont val="Calibri"/>
        <family val="2"/>
        <scheme val="minor"/>
      </rPr>
      <t>par l'utilisation d'une contraception moderne</t>
    </r>
  </si>
  <si>
    <t>Miscarriages or stillbirths averted</t>
  </si>
  <si>
    <r>
      <t>Fausse couches</t>
    </r>
    <r>
      <rPr>
        <sz val="11"/>
        <color theme="1"/>
        <rFont val="Calibri"/>
        <family val="2"/>
        <scheme val="minor"/>
      </rPr>
      <t xml:space="preserve"> ou mortinaissances évitées</t>
    </r>
  </si>
  <si>
    <t>Births averted by modern use</t>
  </si>
  <si>
    <r>
      <t xml:space="preserve">Naissances évitées </t>
    </r>
    <r>
      <rPr>
        <sz val="11"/>
        <color theme="1"/>
        <rFont val="Calibri"/>
        <family val="2"/>
        <scheme val="minor"/>
      </rPr>
      <t>par l'utilisation d'une contraception moderne</t>
    </r>
  </si>
  <si>
    <t>Maternal deaths averted by modern use</t>
  </si>
  <si>
    <r>
      <t xml:space="preserve">Décès maternels évitées </t>
    </r>
    <r>
      <rPr>
        <sz val="11"/>
        <color theme="1"/>
        <rFont val="Calibri"/>
        <family val="2"/>
        <scheme val="minor"/>
      </rPr>
      <t>par l'utilisation d'une contraception moderne</t>
    </r>
  </si>
  <si>
    <t>(maternal deaths per 100,000 births)</t>
  </si>
  <si>
    <t xml:space="preserve">  unwanted</t>
  </si>
  <si>
    <t>(décès maternel par 100,000 naissances)</t>
  </si>
  <si>
    <t>Cabo Verde</t>
  </si>
  <si>
    <t>Micronesia (Federated States of)</t>
  </si>
  <si>
    <t>The former Yugoslav Republic of Macedonia</t>
  </si>
  <si>
    <t>http://www.who.int/reproductivehealth/publications/monitoring/maternal-mortality-2015/en/</t>
  </si>
  <si>
    <t>Trends in maternal mortality: 1990 to 2015: estimates by WHO, UNICEF, UNFPA, World Bank Group and the United Nations Population Division. Geneva: World Health Organization; 2015.</t>
  </si>
  <si>
    <t>Male condom</t>
  </si>
  <si>
    <t xml:space="preserve">3) If you used all-women method prevalence for Indicator 9, you can copy and paste the method mix here.  </t>
  </si>
  <si>
    <t>Assumptions used for impact calculations</t>
  </si>
  <si>
    <t>Les hypothèses utilisées pour les calculs de les effets</t>
  </si>
  <si>
    <t>Track20-topia</t>
  </si>
  <si>
    <t>AW</t>
  </si>
  <si>
    <t>Long-Acting and Permanent Methods</t>
  </si>
  <si>
    <t>Short-Term Methods</t>
  </si>
  <si>
    <t>Goal</t>
  </si>
  <si>
    <t>Current Year</t>
  </si>
  <si>
    <t>Avg Growth</t>
  </si>
  <si>
    <t>MW</t>
  </si>
  <si>
    <t>Current trend</t>
  </si>
  <si>
    <t>Average*</t>
  </si>
  <si>
    <t>Putting our mCPR into context</t>
  </si>
  <si>
    <t>Data for Method Mix Graph</t>
  </si>
  <si>
    <t>mCPR (MW)</t>
  </si>
  <si>
    <t xml:space="preserve">Data for Additional Users </t>
  </si>
  <si>
    <t>Current Progress on Additional Users: 2012-2020</t>
  </si>
  <si>
    <t>What is the impact of growing our modern contraceptive prevalence?</t>
  </si>
  <si>
    <t>Additional Users</t>
  </si>
  <si>
    <t>CAR</t>
  </si>
  <si>
    <t>Les indicateurs 6 - 8 montrent les effets qui ne se sont pas produits parce que les femmes ont utilisé des méthodes de contraception modernes (c'est pourquoi elles n'ont pas vécu des grossesses non désirées, et les conséquences y afférentes). Le nombre 2012 représente l'effet de l'utilisation de méthodes de contraception modernes existantes sur le pays (par exemple, si aucune femme dans le pays n'utilisait une contraception moderne, il y aurait eu plus de xxx grossesses non désirées). Les augmentations par rapport au nombre de 2012 montrent les effets supplémentaires générés par une augmentation du nombre de femmes utilisant une contraception moderne et les changements dans la gamme de méthodes.</t>
  </si>
  <si>
    <t>Saint Helena</t>
  </si>
  <si>
    <t>Anguilla</t>
  </si>
  <si>
    <t>Bonaire, Sint Eustatius and Saba</t>
  </si>
  <si>
    <t>British Virgin Islands</t>
  </si>
  <si>
    <t>Cayman Islands</t>
  </si>
  <si>
    <t>Dominica</t>
  </si>
  <si>
    <t>Montserrat</t>
  </si>
  <si>
    <t>Saint-Barthélemy</t>
  </si>
  <si>
    <t>Saint Kitts and Nevis</t>
  </si>
  <si>
    <t>Saint Martin (French part)</t>
  </si>
  <si>
    <t>Sint Maarten (Dutch part)</t>
  </si>
  <si>
    <t>Turks and Caicos Islands</t>
  </si>
  <si>
    <t>Falkland Islands (Malvinas)</t>
  </si>
  <si>
    <t>Bermuda</t>
  </si>
  <si>
    <t>Greenland</t>
  </si>
  <si>
    <t>Saint Pierre and Miquelon</t>
  </si>
  <si>
    <t>China, Hong Kong Special Administrative Region</t>
  </si>
  <si>
    <t>China, Macao Special Administrative Region</t>
  </si>
  <si>
    <t>Europe</t>
  </si>
  <si>
    <t>Åland Islands</t>
  </si>
  <si>
    <t>Faeroe Islands</t>
  </si>
  <si>
    <t>Guernsey</t>
  </si>
  <si>
    <t>Isle of Man</t>
  </si>
  <si>
    <t>Jersey</t>
  </si>
  <si>
    <t>Sark</t>
  </si>
  <si>
    <t>Svalbard and Jan Mayen Islands</t>
  </si>
  <si>
    <t>United Kingdom of Great Britain and Northern Ireland</t>
  </si>
  <si>
    <t>Andorra</t>
  </si>
  <si>
    <t>Gibraltar</t>
  </si>
  <si>
    <t>Holy See</t>
  </si>
  <si>
    <t>San Marino</t>
  </si>
  <si>
    <t>Liechtenstein</t>
  </si>
  <si>
    <t>Monaco</t>
  </si>
  <si>
    <t>Norfolk Island</t>
  </si>
  <si>
    <t>Marshall Islands</t>
  </si>
  <si>
    <t>Nauru</t>
  </si>
  <si>
    <t>Northern Mariana Islands</t>
  </si>
  <si>
    <t>Palau</t>
  </si>
  <si>
    <t>American Samoa</t>
  </si>
  <si>
    <t>Cook Islands</t>
  </si>
  <si>
    <t>Niue</t>
  </si>
  <si>
    <t>Pitcairn</t>
  </si>
  <si>
    <t>Tokelau</t>
  </si>
  <si>
    <t>Tuvalu</t>
  </si>
  <si>
    <t>Wallis and Futuna Islands</t>
  </si>
  <si>
    <t>Northern America</t>
  </si>
  <si>
    <t>Number</t>
  </si>
  <si>
    <t>Sub-Region</t>
  </si>
  <si>
    <t>Percentage of women using each modern method of contraception</t>
  </si>
  <si>
    <t xml:space="preserve">   wanted no more</t>
  </si>
  <si>
    <t xml:space="preserve">   wanted later</t>
  </si>
  <si>
    <t xml:space="preserve">   Voulue plus tard</t>
  </si>
  <si>
    <t xml:space="preserve">   Non désirée</t>
  </si>
  <si>
    <t>Current Year:</t>
  </si>
  <si>
    <t>unsafe abortions will be averted</t>
  </si>
  <si>
    <t>maternal deaths will be averted</t>
  </si>
  <si>
    <t>unintended pregnancies will be prevented</t>
  </si>
  <si>
    <t>Francais</t>
  </si>
  <si>
    <t>Objectif</t>
  </si>
  <si>
    <t>Mettre notre TPC moderne en contexte</t>
  </si>
  <si>
    <t>Analysis by Track20 M&amp;E Officer</t>
  </si>
  <si>
    <t>Modern Methods</t>
  </si>
  <si>
    <t>Ratio</t>
  </si>
  <si>
    <t xml:space="preserve">Enter the information about your national contraceptive prevalence goal. </t>
  </si>
  <si>
    <t>Saisissez les informations sur votre objectif national de prévalence contraceptive</t>
  </si>
  <si>
    <t>TPC moderne pour la Courbe S</t>
  </si>
  <si>
    <t>mCPR (MW) for the S-Curve</t>
  </si>
  <si>
    <t>mCPR Method Mix</t>
  </si>
  <si>
    <t>An</t>
  </si>
  <si>
    <t>Cette année</t>
  </si>
  <si>
    <t>La moyenne</t>
  </si>
  <si>
    <t>Tendance Actuelle</t>
  </si>
  <si>
    <t xml:space="preserve">Palette de méthodes de TPCM </t>
  </si>
  <si>
    <t>TPCM (femmes mariées)</t>
  </si>
  <si>
    <t>Quel est l'impact de la croissance de notre prévalence contraceptive moderne ?</t>
  </si>
  <si>
    <t>avortements à risqué évités</t>
  </si>
  <si>
    <t>décès de mères évités</t>
  </si>
  <si>
    <t>grossesses non désirées évitées</t>
  </si>
  <si>
    <t>Number of women using a modern method of contraception</t>
  </si>
  <si>
    <t>Population (Toutes les femmes ou Femmes mariées)</t>
  </si>
  <si>
    <t>Enter the method prevalence from your latest survey. If All-Women method prevalence is available please use.</t>
  </si>
  <si>
    <t>Saisissez votre objectif national dans l'année appropriée. Vous pouvez créer la tendance ici à utiliser pour évaluer les progrès vers votre objectif national.</t>
  </si>
  <si>
    <t>Hint: Make sure you use the appropriate 2012 baseline figure from FPET (CPR/mCPR). Then use Fill Series to create a linear trend between the two points.</t>
  </si>
  <si>
    <t>Indice:  Utilisez Remplir les séries pour créer une tendance linéaire entre les deux points.</t>
  </si>
  <si>
    <t>As a result of contraceptive use:</t>
  </si>
  <si>
    <t>Par conséquent de l'utilisation des contraceptifs</t>
  </si>
  <si>
    <t xml:space="preserve">Based on </t>
  </si>
  <si>
    <t xml:space="preserve">Basé sur </t>
  </si>
  <si>
    <t>Number of women using a modern method of contraception (2012)</t>
  </si>
  <si>
    <t>Enter your national goal in the correct year. You can create the trend here to use for evaluating progress towards your national goal by filling the series between 2012.5 and the year of your goal.</t>
  </si>
  <si>
    <t>Published</t>
  </si>
  <si>
    <t>Definition: The number of additional women (or their partners) of reproductive age currently using a modern contraceptive method, compared to the number in 2012</t>
  </si>
  <si>
    <t>Definition: The percentage of all women of reproductive age who are using (or whose partner is using) a modern method of contraception at a particular point in time</t>
  </si>
  <si>
    <t>%</t>
  </si>
  <si>
    <t>Population</t>
  </si>
  <si>
    <t>This is used to calculate the number of maternal deaths averted for Indicator 8.</t>
  </si>
  <si>
    <t>Cela est utilisé pour calculer le nombre de décès maternels évités pour l'Indicateur 8</t>
  </si>
  <si>
    <t>Définition: Le pourcentage des femmes en âge de procréer qui utilisent (ou don’t le partenaire utilise) une méthode de contraception moderne à un moment particulier.</t>
  </si>
  <si>
    <t xml:space="preserve">Définition:  Le pourcentage de femmes fécondes et en âge de procréer qui ne souhaitent pas avoir d’autre enfant ou souhaitent différer leur prochaine grossesse, mais qui n’utilisent pas de méthode contraceptive, plus les femmes qui utilisent actuellement une méthode traditionnelle de planification familiale. Les femmes qui utilisent une méthode traditionnelle sont supposées avoir des besoins non satisfaits en matière de contraception moderne.
</t>
  </si>
  <si>
    <t xml:space="preserve">Définition: Le nombre de grossesses qui se sont produites à un moment où les femmes (et leurs partenaires) ne souhaitaient pas d’enfants supplémentaires ou souhaitaient différer leur prochaine grossesse. Mesurée en général en se basant sur les dernières ou les plus récentes grossesses, y compris les grossesses en cours.
</t>
  </si>
  <si>
    <t xml:space="preserve">Publié </t>
  </si>
  <si>
    <t>www.track20.org</t>
  </si>
  <si>
    <t>Married or All Women Goal?</t>
  </si>
  <si>
    <t>All methods or Modern Methods?</t>
  </si>
  <si>
    <t xml:space="preserve">Femmes mariées o toutes les femmes </t>
  </si>
  <si>
    <t>Toutes les méthodes o méthodes modernes</t>
  </si>
  <si>
    <t>Name/Nom</t>
  </si>
  <si>
    <t>2014-15 DHS</t>
  </si>
  <si>
    <t>CPR among married women</t>
  </si>
  <si>
    <t>TPC total chez les femmes mariées</t>
  </si>
  <si>
    <t>2015 DHS</t>
  </si>
  <si>
    <t>2015-16 DHS</t>
  </si>
  <si>
    <t>Last Updated</t>
  </si>
  <si>
    <t>Eastern and Southern Africa</t>
  </si>
  <si>
    <t>Central Africa</t>
  </si>
  <si>
    <t>Middle East and Northern Africa</t>
  </si>
  <si>
    <t>Eastern and Central Asia</t>
  </si>
  <si>
    <t>South Asia</t>
  </si>
  <si>
    <t>Southeast Asia and Oceania</t>
  </si>
  <si>
    <t>Latin America and Caribbean</t>
  </si>
  <si>
    <t>Sub-region</t>
  </si>
  <si>
    <t>n/a</t>
  </si>
  <si>
    <t>Middle East and Northern Africa Regional Average</t>
  </si>
  <si>
    <t>Female Sterilization</t>
  </si>
  <si>
    <t>Male Sterilization</t>
  </si>
  <si>
    <t>METHOD PREVALENCE RATES</t>
  </si>
  <si>
    <t>Data for Married or All Women?</t>
  </si>
  <si>
    <t xml:space="preserve">Source </t>
  </si>
  <si>
    <t>Male Condom</t>
  </si>
  <si>
    <t>Female Condom</t>
  </si>
  <si>
    <t>Diaphragm</t>
  </si>
  <si>
    <t>Foam or Jelly</t>
  </si>
  <si>
    <t>Emergency Contraceptive</t>
  </si>
  <si>
    <t>Other Modern Methods</t>
  </si>
  <si>
    <t>mCPR</t>
  </si>
  <si>
    <t>LAM excluded for: Chad, CAR, Cameroon, and Somalia</t>
  </si>
  <si>
    <t>Condom (M)</t>
  </si>
  <si>
    <t>Toutes les methodes</t>
  </si>
  <si>
    <t>All Methods</t>
  </si>
  <si>
    <t>Remember: if you use service statistics, please also submit your 'SS to EMU' file</t>
  </si>
  <si>
    <t>Ne pas oublier : Si vous utilisez les statistiques des services, veuillez également soumettre votre fichier 'SS to EMU'</t>
  </si>
  <si>
    <t>All Women CPR: All methods</t>
  </si>
  <si>
    <t>Toutes les femmes TPC: Toutes les méthodes</t>
  </si>
  <si>
    <t>Married Women CPR: All methods</t>
  </si>
  <si>
    <t>Femmes mariées TPC: Toutes les méthodes</t>
  </si>
  <si>
    <t>Enter your National Contraceptive Prevalence Goal</t>
  </si>
  <si>
    <t>Saisissez votre objectif national de prévalence contraceptive</t>
  </si>
  <si>
    <t>Review the data for your brief, "Assessing our progress"</t>
  </si>
  <si>
    <t>Examinez vos données pour le document "Évaluation de notre progrès"</t>
  </si>
  <si>
    <t>Current Trend</t>
  </si>
  <si>
    <t>National goal</t>
  </si>
  <si>
    <t>Objectif nationale :</t>
  </si>
  <si>
    <t>**Average for countries at a similar prevalence</t>
  </si>
  <si>
    <t>**Une moyenne pour les pays à un prevalence similaire</t>
  </si>
  <si>
    <t>mCPR (AW)</t>
  </si>
  <si>
    <t>Unmet Need* (MW)</t>
  </si>
  <si>
    <t>additional users with a modern method of contraception.</t>
  </si>
  <si>
    <t>Comparing national goal and current progress</t>
  </si>
  <si>
    <t>Putting our Progress Into Context</t>
  </si>
  <si>
    <t>Mettre notre progrès en contexte</t>
  </si>
  <si>
    <t>What contraceptive methods are women using?</t>
  </si>
  <si>
    <t>Enter your national contraceptive prevalence goal</t>
  </si>
  <si>
    <t>femmes qui utilisent actuellement une méthode moderne de contraception</t>
  </si>
  <si>
    <t>TPCM (TF)</t>
  </si>
  <si>
    <t>Total Users</t>
  </si>
  <si>
    <t>Note: AW = All Women, MW=Married Women</t>
  </si>
  <si>
    <t>Demand Satisfied* (MW)</t>
  </si>
  <si>
    <t>Note: TF = Toutes les femmes, FM = Femmes mariées</t>
  </si>
  <si>
    <t>TPCM (FM)</t>
  </si>
  <si>
    <t>Besoin non Satisfait* (FM)</t>
  </si>
  <si>
    <t>*refer to need and demand for modern methods of contraception</t>
  </si>
  <si>
    <t>Quelles sont les méthodes contraceptives utilisées par les femmes?</t>
  </si>
  <si>
    <t>Additional Users
 (from 2012)</t>
  </si>
  <si>
    <t>Besoin Satisfait* 
(FM)</t>
  </si>
  <si>
    <t>Data for the Brief</t>
  </si>
  <si>
    <t>Data for Impact Graphic</t>
  </si>
  <si>
    <t>Méthodes à longue terme</t>
  </si>
  <si>
    <t>Méthodes à court terme</t>
  </si>
  <si>
    <t>1-A: Married Women Results</t>
  </si>
  <si>
    <r>
      <t>Demand Satisfied with</t>
    </r>
    <r>
      <rPr>
        <i/>
        <u/>
        <sz val="11"/>
        <rFont val="Calibri"/>
        <family val="2"/>
        <scheme val="minor"/>
      </rPr>
      <t xml:space="preserve"> modern methods</t>
    </r>
    <r>
      <rPr>
        <sz val="11"/>
        <rFont val="Calibri"/>
        <family val="2"/>
        <scheme val="minor"/>
      </rPr>
      <t xml:space="preserve"> (married)</t>
    </r>
  </si>
  <si>
    <t>1-A: Résultats de les Femmes Mariées</t>
  </si>
  <si>
    <t>CPR among all women</t>
  </si>
  <si>
    <t>mCPR among all women</t>
  </si>
  <si>
    <r>
      <t xml:space="preserve">Unmet need </t>
    </r>
    <r>
      <rPr>
        <i/>
        <u/>
        <sz val="11"/>
        <rFont val="Calibri"/>
        <family val="2"/>
        <scheme val="minor"/>
      </rPr>
      <t>for modern methods</t>
    </r>
    <r>
      <rPr>
        <sz val="11"/>
        <rFont val="Calibri"/>
        <family val="2"/>
        <scheme val="minor"/>
      </rPr>
      <t xml:space="preserve"> (all women)</t>
    </r>
  </si>
  <si>
    <r>
      <t xml:space="preserve">Besoin non satisfait </t>
    </r>
    <r>
      <rPr>
        <i/>
        <u/>
        <sz val="11"/>
        <color theme="1"/>
        <rFont val="Calibri"/>
        <family val="2"/>
        <scheme val="minor"/>
      </rPr>
      <t>de méthodes modernes</t>
    </r>
    <r>
      <rPr>
        <i/>
        <sz val="11"/>
        <color theme="1"/>
        <rFont val="Calibri"/>
        <family val="2"/>
        <scheme val="minor"/>
      </rPr>
      <t xml:space="preserve"> </t>
    </r>
    <r>
      <rPr>
        <sz val="11"/>
        <color theme="1"/>
        <rFont val="Calibri"/>
        <family val="2"/>
        <scheme val="minor"/>
      </rPr>
      <t>(toutes les femmes)</t>
    </r>
  </si>
  <si>
    <t>TPC total chez toutes les femmes</t>
  </si>
  <si>
    <t>TPC modern chez toutes les femmes</t>
  </si>
  <si>
    <t>1-B: All Women Results</t>
  </si>
  <si>
    <t>1-B: Résultats de Toutes les Femmes</t>
  </si>
  <si>
    <t>Updated</t>
  </si>
  <si>
    <t>2016 DHS</t>
  </si>
  <si>
    <t>2014 MICS</t>
  </si>
  <si>
    <t>2010 MICS</t>
  </si>
  <si>
    <t>2013-14 MICS</t>
  </si>
  <si>
    <t>Total mCPR</t>
  </si>
  <si>
    <t>Married Women</t>
  </si>
  <si>
    <t>All Women</t>
  </si>
  <si>
    <t>Condom (F)</t>
  </si>
  <si>
    <t>Iran</t>
  </si>
  <si>
    <t>Central African Republic</t>
  </si>
  <si>
    <t>China, Taiwan Province of China</t>
  </si>
  <si>
    <t>Czechia</t>
  </si>
  <si>
    <t>Dem. People's Republic of Korea</t>
  </si>
  <si>
    <t>Democratic Republic of the Congo</t>
  </si>
  <si>
    <t>Lao People's Democratic Republic</t>
  </si>
  <si>
    <t>United Republic of Tanzania</t>
  </si>
  <si>
    <t>Venezuela</t>
  </si>
  <si>
    <t>Syria</t>
  </si>
  <si>
    <t>Bolivia (Plurinational State of)</t>
  </si>
  <si>
    <t>Inputs for Indicator Calculations</t>
  </si>
  <si>
    <t>Married Women FPET Results</t>
  </si>
  <si>
    <t>All Women FPET Results</t>
  </si>
  <si>
    <t>WRA Population</t>
  </si>
  <si>
    <t>Outputs for Indicator Results</t>
  </si>
  <si>
    <t>Indicator 1: Additional Users</t>
  </si>
  <si>
    <t>Non-Indicator : Total Modern Users</t>
  </si>
  <si>
    <t>(AW)</t>
  </si>
  <si>
    <t>(AW*)</t>
  </si>
  <si>
    <t>(MW)</t>
  </si>
  <si>
    <t>Utilisateurs Total</t>
  </si>
  <si>
    <t>Source: Guttmacher Institute calculations based on DHS reports of unintended pregnancies, updated 2018</t>
  </si>
  <si>
    <t>Source: Calculs de l'Institute Guttmacher fondèes sur les rapports de EDS sur les grossess non désirées, 2018</t>
  </si>
  <si>
    <t>OPTIONNEL : Saisissez le ratio de mortalité maternelle (RMM)</t>
  </si>
  <si>
    <t>OPTIONAL: Review the Maternal Mortality Ratio (MMR)</t>
  </si>
  <si>
    <t>Le nombre ci-dessous est le RMM 2015 tiré de l'OMS.* Nous recommandons l'OMS comme meilleure source, car elle utilise une méthodologie statistiquement rigoureuse et intègre de multiples sources de données. Si vous avez choisi de remplacer cela par un MMR provenant d'une autre source, vous devrez justifier la modification et documenter la source.</t>
  </si>
  <si>
    <t>Yellow Indicates a place where data should be entered.</t>
  </si>
  <si>
    <t xml:space="preserve">Blue indicates data that has been pre-populated and should be reviewed. </t>
  </si>
  <si>
    <t>Le bleu indique les données qui ont été pré-remplies et qui doivent être examinées.</t>
  </si>
  <si>
    <t>Le jaune indique un endroit où les données doivent être saisies.</t>
  </si>
  <si>
    <t>Notes</t>
  </si>
  <si>
    <t>Country input (DHS)</t>
  </si>
  <si>
    <t>Entrée de Pays (DHS)</t>
  </si>
  <si>
    <t>WHO (recommandé),spécifique au pays, tout changement doit être approuvé.</t>
  </si>
  <si>
    <t xml:space="preserve">WHO (recommended), country-specific, any change must be approved. </t>
  </si>
  <si>
    <t>Updated 3.8.18 - Yellow shows updated values</t>
  </si>
  <si>
    <t>Updated 3.8.18 to split "South Central Asia" into "South Asia" and "Central Asia"</t>
  </si>
  <si>
    <t>DHS 2015</t>
  </si>
  <si>
    <t>MICS 2014</t>
  </si>
  <si>
    <t>MICS 2010</t>
  </si>
  <si>
    <t>DHS 2014</t>
  </si>
  <si>
    <t>DHS 2014-15</t>
  </si>
  <si>
    <t>DHS 2012</t>
  </si>
  <si>
    <t>MICS 2014-15</t>
  </si>
  <si>
    <t>DHS 2011-12</t>
  </si>
  <si>
    <t>PAPFAM 2012</t>
  </si>
  <si>
    <t>DHS 2013</t>
  </si>
  <si>
    <t>DHS 2016</t>
  </si>
  <si>
    <t>MICS 2015</t>
  </si>
  <si>
    <t>National 2011-12</t>
  </si>
  <si>
    <t>MICS 2006</t>
  </si>
  <si>
    <t>SHHS2 2010</t>
  </si>
  <si>
    <t>MICS 2013-14</t>
  </si>
  <si>
    <t>1 = AW CPR, 2 = MW CPR, 3 = AW mCPR, 4 = MW mCPR</t>
  </si>
  <si>
    <t>Current *</t>
  </si>
  <si>
    <t>Actuelle *</t>
  </si>
  <si>
    <t>2. WHO. Unsafe abortion: Global and regional estimates of the incidence of unsafe abortions and associated  mortality in 2008. 6th Edition. WHO, 2008.</t>
  </si>
  <si>
    <t>n/a. Sedgh G, Singh S, Shah IH, Ahman E, Henshaw S, Bankole A, Induced abortion: incidence and trends worldwide from 1995 to 2008, Lancet, 2012; 379: 625-632.</t>
  </si>
  <si>
    <t xml:space="preserve">Updated 3.8.18 </t>
  </si>
  <si>
    <t>Definition: The number of women (or their partners) of reproductive age currently using a modern method</t>
  </si>
  <si>
    <t>Définition: Le nombre de femmes supplémentaires (ou leurs partenaires) en âge de procréer qui utilisent actuellement une méthode moderne de contraception par rapport à 2012.</t>
  </si>
  <si>
    <t>Not Available</t>
  </si>
  <si>
    <t>Données Non Disponibles</t>
  </si>
  <si>
    <t>Demand Satisfied* (AW)</t>
  </si>
  <si>
    <t>Besoin non Satisfait* (TF)</t>
  </si>
  <si>
    <t>Besoin Satisfait* 
(TF)</t>
  </si>
  <si>
    <t>Unmet Need* 
(AW)</t>
  </si>
  <si>
    <t>Contact email</t>
  </si>
  <si>
    <t>Title</t>
  </si>
  <si>
    <r>
      <t xml:space="preserve">Demand Satisified </t>
    </r>
    <r>
      <rPr>
        <i/>
        <u/>
        <sz val="11"/>
        <rFont val="Calibri"/>
        <family val="2"/>
        <scheme val="minor"/>
      </rPr>
      <t>with modern methods</t>
    </r>
    <r>
      <rPr>
        <sz val="11"/>
        <rFont val="Calibri"/>
        <family val="2"/>
        <scheme val="minor"/>
      </rPr>
      <t xml:space="preserve"> (all women)</t>
    </r>
  </si>
  <si>
    <r>
      <t xml:space="preserve">Besoin satisfait </t>
    </r>
    <r>
      <rPr>
        <i/>
        <u/>
        <sz val="11"/>
        <color theme="1"/>
        <rFont val="Calibri"/>
        <family val="2"/>
        <scheme val="minor"/>
      </rPr>
      <t>avec méthodes modernes</t>
    </r>
    <r>
      <rPr>
        <i/>
        <sz val="11"/>
        <color theme="1"/>
        <rFont val="Calibri"/>
        <family val="2"/>
        <scheme val="minor"/>
      </rPr>
      <t xml:space="preserve"> (toutes les femmes)</t>
    </r>
  </si>
  <si>
    <r>
      <t xml:space="preserve">Besoin satisfait </t>
    </r>
    <r>
      <rPr>
        <i/>
        <u/>
        <sz val="11"/>
        <color theme="1"/>
        <rFont val="Calibri"/>
        <family val="2"/>
        <scheme val="minor"/>
      </rPr>
      <t>avec méthodes modernes</t>
    </r>
    <r>
      <rPr>
        <i/>
        <sz val="11"/>
        <color theme="1"/>
        <rFont val="Calibri"/>
        <family val="2"/>
        <scheme val="minor"/>
      </rPr>
      <t xml:space="preserve"> </t>
    </r>
    <r>
      <rPr>
        <sz val="11"/>
        <color theme="1"/>
        <rFont val="Calibri"/>
        <family val="2"/>
        <scheme val="minor"/>
      </rPr>
      <t>(femmes mariées)</t>
    </r>
  </si>
  <si>
    <t>MICS</t>
  </si>
  <si>
    <t>pDHS</t>
  </si>
  <si>
    <t>Kyrgyz Republic</t>
  </si>
  <si>
    <t>DHS</t>
  </si>
  <si>
    <t>MICS 2017</t>
  </si>
  <si>
    <t>2015 MICS</t>
  </si>
  <si>
    <t>DHS 2017</t>
  </si>
  <si>
    <t>DHS 2016-17</t>
  </si>
  <si>
    <t>2016-17 DHS</t>
  </si>
  <si>
    <t>2017 DHS</t>
  </si>
  <si>
    <t>Definition: The percentage of fecund women of reproductive age who want no more children or want to postpone having a child, but are not using a modern contraceptive method, plus women who are currently using a traditional method of family planning. Women using a traditional method are assumed to have an unmet need for modern contraception.</t>
  </si>
  <si>
    <t>Definition: The percentage of fecund women of reproductive age who want no more children or want to postpone having a child, and who are currently using a modern method of contraception. Women using a traditional method of family planning are assumed to have an unmet need for modern contraception.</t>
  </si>
  <si>
    <t xml:space="preserve">Définition: Le pourcentage de femmes fécondes en âge de procréer qui désirent ne plus avoir d’enfant ou différer leurs prochaines grossesses, et qui utilisent actuellement une méthode moderne de contraception. Les femmes qui utilisent une méthode traditionnelle sont supposées avoir des besoins non satisfaits en matière de contraception moderne.
</t>
  </si>
  <si>
    <t>Definition: The number of pregnancies that are estimated to have occurred at a time when women (and their partners) either did not want additional children or wanted to delay the next birth.
Usually measured with regard to last or recent pregnancies, including current pregnancies.</t>
  </si>
  <si>
    <t>Definition: The estimated number of unintended pregnancies that did not occur during a specified reference period as a result of the protection provided by contraceptive use during the reference period</t>
  </si>
  <si>
    <t>Definition: The estimated number of unsafe abortions that did not occur during a specified reference period as a result of the protection provided by contraceptive use during the reference period.</t>
  </si>
  <si>
    <t>Definition: The estimated number of maternal deaths that did not occur during a specified reference period as a result of the protection provided by contraceptive use during the reference period.</t>
  </si>
  <si>
    <t>Définition: Le nombre estimé de décès de mères qui ne se sont pas produits au cours d’une période de référence déterminée en raison de la protection assurée par l’utilisation de contraceptifs au cours de la période de référence.</t>
  </si>
  <si>
    <t>Définition: Le nombre estimé d’avortements à risque qui n’ont pas eu lieu au cours d’une période de référence déterminée en raison de la protection assurée par l’utilisation de contraceptifs au cours de la période de référence.</t>
  </si>
  <si>
    <t xml:space="preserve">Définition: Le nombre estimé de grossesses non désirées qui n’ont pas eu lieu au cours d’une période de référence déterminée en raison de la protection assure par l’utilisation de contraceptifs au cours de la période de référence.
</t>
  </si>
  <si>
    <t>Indicators 6 - 8 show the impact of modern contraceptives in terms of the negative outcomes that did not occur because women were using modern contraceptives (and therefore did not experience unintended pregnancies, and related consequences).  The 2012 number represents the impact that the total number of women using a modern method of contraception in 2012 (shown above) had in the country (e.g. if none of those women were using modern contraceptives in 2012, there would have been xxx more unintended pregnancies).  Increases from the 2012 number show the additional impacts generated by increasing the number of women using modern contraception and changes in method mix.</t>
  </si>
  <si>
    <t>Population WRA (WPP 2017 - Replaced country values from previous years, check 2016-17 Report files to restore those values)</t>
  </si>
  <si>
    <t>Commitment Maker</t>
  </si>
  <si>
    <t>Last Survey</t>
  </si>
  <si>
    <t>Y</t>
  </si>
  <si>
    <t>commitment</t>
  </si>
  <si>
    <t>Non Commitment</t>
  </si>
  <si>
    <t/>
  </si>
  <si>
    <t>PAPFAM</t>
  </si>
  <si>
    <t>EPHS (Eritrea Population and Health Survey)</t>
  </si>
  <si>
    <t>PMA2020 R5</t>
  </si>
  <si>
    <t>PMA2020 R6</t>
  </si>
  <si>
    <t>NFHS Survey</t>
  </si>
  <si>
    <t>LSIS-MICS</t>
  </si>
  <si>
    <t>Enquete TrackPF 2017</t>
  </si>
  <si>
    <t>DHS 2015-16</t>
  </si>
  <si>
    <t>DHS/AIS</t>
  </si>
  <si>
    <t>National</t>
  </si>
  <si>
    <t>PMA2020 R2</t>
  </si>
  <si>
    <t>mCPR (MW):2012.5</t>
  </si>
  <si>
    <t>mCPR (MW):2013.5</t>
  </si>
  <si>
    <t>mCPR (MW):2014.5</t>
  </si>
  <si>
    <t>mCPR (MW):2015.5</t>
  </si>
  <si>
    <t>mCPR (MW):2016.5</t>
  </si>
  <si>
    <t>mCPR (MW):2017.5</t>
  </si>
  <si>
    <t>mCPR (MW):2018.5</t>
  </si>
  <si>
    <t>mCPR (MW):2019.5</t>
  </si>
  <si>
    <t>mCPR (MW):2020.5</t>
  </si>
  <si>
    <t>mCPR (AW):2012.5</t>
  </si>
  <si>
    <t>mCPR (AW):2013.5</t>
  </si>
  <si>
    <t>mCPR (AW):2014.5</t>
  </si>
  <si>
    <t>mCPR (AW):2015.5</t>
  </si>
  <si>
    <t>mCPR (AW):2016.5</t>
  </si>
  <si>
    <t>mCPR (AW):2017.5</t>
  </si>
  <si>
    <t>mCPR (AW):2018.5</t>
  </si>
  <si>
    <t>mCPR (AW):2019.5</t>
  </si>
  <si>
    <t>mCPR (AW):2020.5</t>
  </si>
  <si>
    <t>Total Users:2012.5</t>
  </si>
  <si>
    <t>Total Users:2013.5</t>
  </si>
  <si>
    <t>Total Users:2014.5</t>
  </si>
  <si>
    <t>Total Users:2015.5</t>
  </si>
  <si>
    <t>Total Users:2016.5</t>
  </si>
  <si>
    <t>Total Users:2017.5</t>
  </si>
  <si>
    <t>Total Users:2018.5</t>
  </si>
  <si>
    <t>Total Users:2019.5</t>
  </si>
  <si>
    <t>Total Users:2020.5</t>
  </si>
  <si>
    <t xml:space="preserve">Remember to use the 50th Percentile/Median results. </t>
  </si>
  <si>
    <t>Ne oubliez pas d'utiliser les résultats du 50 percentile /médians</t>
  </si>
  <si>
    <t>What year does the plan start?</t>
  </si>
  <si>
    <t>What year does the plan end?</t>
  </si>
  <si>
    <t>En quelle année commence le plan?</t>
  </si>
  <si>
    <t>En quelle année se termine le plan?</t>
  </si>
  <si>
    <t>Years for Dropdowns</t>
  </si>
  <si>
    <t>Bradley, 2019</t>
  </si>
  <si>
    <t>Bradley EK, Polis CB, Bankole A, Croft T. Global Contraceptive Failure Rates: Who is Most at Risk? Studies in Family Planning, 2019, forthcoming.</t>
  </si>
  <si>
    <t>2017 MICS</t>
  </si>
  <si>
    <t>2018 MICS</t>
  </si>
  <si>
    <t>WPP 2019 WRA (15-49) ; Updated April 2020</t>
  </si>
  <si>
    <t>Eswatini</t>
  </si>
  <si>
    <t>North Macedonia</t>
  </si>
  <si>
    <t>WPP 2019 Live Births, Updated April 2020</t>
  </si>
  <si>
    <t>CENTRAL AND SOUTHERN ASIA</t>
  </si>
  <si>
    <t>United Nations, Department of Economic and Social Affairs, Population Division (2019). World Population Prospects 2019, Online Edition.</t>
  </si>
  <si>
    <t>2017-18 DHS</t>
  </si>
  <si>
    <t>Updated April 2020</t>
  </si>
  <si>
    <t>2018 DHS</t>
  </si>
  <si>
    <t>2016-18 DHS</t>
  </si>
  <si>
    <t>ICF, 2015. The DHS Program STATcompiler. Funded by USAID. http://www.statcompiler.com. April 6 2020</t>
  </si>
  <si>
    <t>DHS 2017-18</t>
  </si>
  <si>
    <t>DHS (KI) 2019</t>
  </si>
  <si>
    <t>MICS 2016</t>
  </si>
  <si>
    <t>National DHS 2016</t>
  </si>
  <si>
    <t>2019 PMA2020 R6</t>
  </si>
  <si>
    <t>2016 National DHS</t>
  </si>
  <si>
    <t>2010 EPHS</t>
  </si>
  <si>
    <t>2019 Mini DHS (KI)</t>
  </si>
  <si>
    <t>2017-18 MICS</t>
  </si>
  <si>
    <t>2015-16 NFHS-4</t>
  </si>
  <si>
    <t>2016 MIS</t>
  </si>
  <si>
    <t>2015 AIS</t>
  </si>
  <si>
    <t>2017 PMA2020 R2</t>
  </si>
  <si>
    <t>ADD NOTE IN BRIEF FOR THESE COUNTRIES IN WITH SOURCE</t>
  </si>
  <si>
    <t>MICS 2006, LAM excluded</t>
  </si>
  <si>
    <t>MICS 2010, LAM excluded</t>
  </si>
  <si>
    <t>DHS 2014-15, LAM excluded</t>
  </si>
  <si>
    <t>DHS 2018 (KI), LAM excluded</t>
  </si>
  <si>
    <r>
      <t>*</t>
    </r>
    <r>
      <rPr>
        <i/>
        <sz val="11"/>
        <color theme="1"/>
        <rFont val="Calibri"/>
        <family val="2"/>
        <scheme val="minor"/>
      </rPr>
      <t>Données par défaut fournies par UNPD WPP 2019. Vous pouvez remplacer par votre propre projection, si vous préférez.</t>
    </r>
  </si>
  <si>
    <t>The figures below are estimates from the UNPD WPP 2019.  You may chose to replace these with birth numbers from Spectrum.*</t>
  </si>
  <si>
    <t>4: Review population figures for Women of Reproductive Age (WRA) 15-49*</t>
  </si>
  <si>
    <t>4: Examiner les chiffres de la population pour les Femmes en âge de procréer (FAP) 15 - 49*</t>
  </si>
  <si>
    <t>5: Review annual numbers of live births</t>
  </si>
  <si>
    <t>5: Examiner les nombres annuels de naissances vivantes</t>
  </si>
  <si>
    <t>6: Review information about pregnancy intention:</t>
  </si>
  <si>
    <t xml:space="preserve">6: Examiner les informations concernant votre intention de grossesse : </t>
  </si>
  <si>
    <t>7: Review/update method prevalence among women 15-49 from most recent survey</t>
  </si>
  <si>
    <t xml:space="preserve">7: Examiner / mettre à jour la prévalence des méthodes chez les femmes 15 - 49 à partir de la plus récente enquête </t>
  </si>
  <si>
    <t>8: Review method mix for mCPR</t>
  </si>
  <si>
    <t>8:  Examiner la gamme de méthodes pour le TPCM</t>
  </si>
  <si>
    <t>9. Review assumptions used for impact calculations</t>
  </si>
  <si>
    <t>9. Examiner les hypothèses utilisées pour les calculs de les effets</t>
  </si>
  <si>
    <t>% Married</t>
  </si>
  <si>
    <t>National DHS</t>
  </si>
  <si>
    <t>95% intervalle d'incertitude</t>
  </si>
  <si>
    <t>95% Uncertainty Interval</t>
  </si>
  <si>
    <t>95% Intervalle d'incertitude</t>
  </si>
  <si>
    <t>WRA in 2020 (from Input Sheet)</t>
  </si>
  <si>
    <t>1% of WRA in 2020</t>
  </si>
  <si>
    <t>REPLACE WITH YOUR NAME, EMAIL, TITLE BELOW /// REMPLACEZ AVEC VOTRE NOM, EMAIL, TITRE CI-DESSOUS</t>
  </si>
  <si>
    <t>Definition: The percentage of modern family planning users using each modern method of contraception.</t>
  </si>
  <si>
    <t>Définition: Le pourcentage d’utilisatrices de planification familiale modern utilisant chaque méthode moderne de contraception.</t>
  </si>
  <si>
    <t xml:space="preserve">Nombre d’utilisatrices supplémentaires par méthode moderne de contraception </t>
  </si>
  <si>
    <r>
      <t xml:space="preserve">Nombre d'utilisatrices des méthodes modernes de contraception </t>
    </r>
    <r>
      <rPr>
        <b/>
        <i/>
        <sz val="11"/>
        <color theme="1"/>
        <rFont val="Calibri"/>
        <family val="2"/>
        <scheme val="minor"/>
      </rPr>
      <t>(qui n'est pas un indicateur principal)</t>
    </r>
  </si>
  <si>
    <t>Répartition en pourcentage des utilisatrices par méthode moderne de contraception</t>
  </si>
  <si>
    <t>SS included in FPET Run</t>
  </si>
  <si>
    <t>No - Survey</t>
  </si>
  <si>
    <t>No - Quality</t>
  </si>
  <si>
    <t>PMA2020 R7</t>
  </si>
  <si>
    <t>MIS (DHS)</t>
  </si>
  <si>
    <t>SISS (MICS)</t>
  </si>
  <si>
    <t>PMA 2020</t>
  </si>
  <si>
    <t xml:space="preserve">If no DHS available, MICS is acceptable - but note that indicator from MICS is a proxy and has a different definition from DHS. </t>
  </si>
  <si>
    <t xml:space="preserve">If DHS is older than 2010, then use MICS if possible, but note indicator from MICS has a different definition. </t>
  </si>
  <si>
    <r>
      <t xml:space="preserve">MICS Proxy: Percent distribution of </t>
    </r>
    <r>
      <rPr>
        <u/>
        <sz val="11"/>
        <color theme="1"/>
        <rFont val="Calibri"/>
        <family val="2"/>
        <scheme val="minor"/>
      </rPr>
      <t>most recent births</t>
    </r>
    <r>
      <rPr>
        <sz val="11"/>
        <color theme="1"/>
        <rFont val="Calibri"/>
        <family val="2"/>
        <scheme val="minor"/>
      </rPr>
      <t xml:space="preserve"> in the </t>
    </r>
    <r>
      <rPr>
        <u/>
        <sz val="11"/>
        <color theme="1"/>
        <rFont val="Calibri"/>
        <family val="2"/>
        <scheme val="minor"/>
      </rPr>
      <t xml:space="preserve">two years preceding the survey </t>
    </r>
    <r>
      <rPr>
        <sz val="11"/>
        <color theme="1"/>
        <rFont val="Calibri"/>
        <family val="2"/>
        <scheme val="minor"/>
      </rPr>
      <t xml:space="preserve">by fertility planning status. </t>
    </r>
  </si>
  <si>
    <t>Regional Averages</t>
  </si>
  <si>
    <t>MICS PROXY, Prior DHS 2002</t>
  </si>
  <si>
    <t>MICS PROXY, No Prior DHS</t>
  </si>
  <si>
    <t>2010 DHS</t>
  </si>
  <si>
    <t>Updated to DHS for Consistency</t>
  </si>
  <si>
    <t>MICS PROXY, Prior DHS 2008.5</t>
  </si>
  <si>
    <t>Updated April 2020 -MICS PROXY, Prior DHS 2008.5</t>
  </si>
  <si>
    <t>Total TPCM</t>
  </si>
  <si>
    <t>Lesles chiffres ci-dessous sont des estimations de UNPD WPP 2019.  Vous pouvez choisir de les remplacer par les nombres de naissances à partir de Spectrum.*</t>
  </si>
  <si>
    <t>Les données ont déjà été remplies à partir de votre dernière EDS, si elles sont disponibles, ou en utilisant les estimations régionales. Vous pouvez souhaiter mettre à jour ces données avec une différente source (par exemple, PMA2020).  Vous pouvez, en général, trouver ces résultats dans la rubrique Préférences de fécondité.</t>
  </si>
  <si>
    <t>Cela est utilisé pour calculer les utilisatrices par méthode pour déterminer les grossesses évitées</t>
  </si>
  <si>
    <t>Nombre d’utilisatrices supplémentaires</t>
  </si>
  <si>
    <t>Nombre total d'utilisatrices</t>
  </si>
  <si>
    <t>Progrès actuel sur les utilisatrices additionnels: 2012-2020</t>
  </si>
  <si>
    <t>Nombre d'utilisatrices des méthodes modernes de contraception</t>
  </si>
  <si>
    <t>Nombre d'utilisatrices des méthodes modernes de contraception (2012)</t>
  </si>
  <si>
    <t>Utilisatrices Additionnels</t>
  </si>
  <si>
    <t>Définition: Le nombre de femmes (ou leurs partenaires) en âge de procréer utilisant actuellement une méthode moderne</t>
  </si>
  <si>
    <t>MMR.2017</t>
  </si>
  <si>
    <t>MMR.2015 (OLD 2015 estimates)</t>
  </si>
  <si>
    <t>MMR.2013 (OLD 2013 estimates)</t>
  </si>
  <si>
    <t>For 2015 Estimates</t>
  </si>
  <si>
    <t>For 2017 Estimates</t>
  </si>
  <si>
    <t>https://data.unicef.org/resources/trends-maternal-mortality-2000-2017/</t>
  </si>
  <si>
    <t>Trends in Maternal Mortality: 2000-2017: Estimates by WHO, UNICEF, UNFPA, World Bank Group and the United Nations Population Division. Geneva: World Health Organization; 2019.</t>
  </si>
  <si>
    <t xml:space="preserve">The number below is the 2017 MMR from the WHO.*  We recommend the WHO as the best source, as it uses statistically rigorous methodology and incorporates multiple sources of data. If you chose to replace this with an MMR from another source, you will need to justify the change and document the source. </t>
  </si>
  <si>
    <t>*Trends in Maternal Mortality: 1990 to 2017; WHO, UNICEF, UNFPA, World Bank Group and the United Nations Population Division, 2019</t>
  </si>
  <si>
    <t>*Tendances de la Mortalité maternelle ; 1990 à 2017 ; OMS, UNICEF, UNFPA, la Banque Mondiale, et la UN Division de la population, 2019</t>
  </si>
  <si>
    <t xml:space="preserve">WHO published 2019 (recommended), country-specific, any change must be approved. </t>
  </si>
  <si>
    <t>WHO de 2019 (recommandé),spécifique au pays, tout changement doit être approuvé.</t>
  </si>
  <si>
    <t>2.5 Percentile</t>
  </si>
  <si>
    <t>97.5 Percentile</t>
  </si>
  <si>
    <t xml:space="preserve">Utilisez les résultats du 2,5 percentile et 97,5 percentile pour l'intervalle d'incertitude </t>
  </si>
  <si>
    <t>Use the results for the 2.5 percentile and 97.5 percentile for the uncertainty intervals</t>
  </si>
  <si>
    <t>Médiane (50 Percentile)</t>
  </si>
  <si>
    <t>Median (50 Percentile)</t>
  </si>
  <si>
    <t>1: Record details about your FPET run</t>
  </si>
  <si>
    <t>What is the most recent survey used in your FPET Run?</t>
  </si>
  <si>
    <t>2: Paste in FPET results</t>
  </si>
  <si>
    <t>2: Coller dans les résultats de FPET</t>
  </si>
  <si>
    <t>2-A: Married Women Results &amp; Uncertainty Intervals</t>
  </si>
  <si>
    <t xml:space="preserve">2-A: Résultats de les Femmes Mariées &amp; Les Intervalles d'Incertitude </t>
  </si>
  <si>
    <t>Number of married women (15-49)</t>
  </si>
  <si>
    <t>Number of unmarried women (15-49)</t>
  </si>
  <si>
    <t>ESTIMATES AND PROJECTIONS OF WOMEN OF REPRODUCTIVE AGE WHO ARE MARRIED OR IN A UNION</t>
  </si>
  <si>
    <t>2020 REVISION</t>
  </si>
  <si>
    <t>Copyright © 2020 by United Nations, made available under a Creative Commons license CC BY 3.0 IGO: http://creativecommons.org/licenses/by/3.0/igo/</t>
  </si>
  <si>
    <t>Suggested citation:  United Nations, Department of Economic and Social Affairs, Population Division (2020).  Estimates and Projections of Women of Reproductive Age Who Are Married or in a Union: 2020 Revision.  New York: United Nations.</t>
  </si>
  <si>
    <t xml:space="preserve">% WRA who are Married or in Union </t>
  </si>
  <si>
    <t>Updated May 2021</t>
  </si>
  <si>
    <t>CPR among unmarried women</t>
  </si>
  <si>
    <t>TPC total chez les femmes non mariées</t>
  </si>
  <si>
    <t>mCPR among unmarried women</t>
  </si>
  <si>
    <t>TPC modern chez les femmes non mariées</t>
  </si>
  <si>
    <r>
      <t xml:space="preserve">Besoin non satisfait </t>
    </r>
    <r>
      <rPr>
        <i/>
        <u/>
        <sz val="11"/>
        <color theme="1"/>
        <rFont val="Calibri"/>
        <family val="2"/>
        <scheme val="minor"/>
      </rPr>
      <t>de méthodes modernes</t>
    </r>
    <r>
      <rPr>
        <i/>
        <sz val="11"/>
        <color theme="1"/>
        <rFont val="Calibri"/>
        <family val="2"/>
        <scheme val="minor"/>
      </rPr>
      <t xml:space="preserve"> </t>
    </r>
    <r>
      <rPr>
        <sz val="11"/>
        <color theme="1"/>
        <rFont val="Calibri"/>
        <family val="2"/>
        <scheme val="minor"/>
      </rPr>
      <t>(femmes non mariées)</t>
    </r>
  </si>
  <si>
    <r>
      <t xml:space="preserve">Unmet need </t>
    </r>
    <r>
      <rPr>
        <i/>
        <u/>
        <sz val="11"/>
        <rFont val="Calibri"/>
        <family val="2"/>
        <scheme val="minor"/>
      </rPr>
      <t>for modern methods</t>
    </r>
    <r>
      <rPr>
        <sz val="11"/>
        <rFont val="Calibri"/>
        <family val="2"/>
        <scheme val="minor"/>
      </rPr>
      <t xml:space="preserve"> (unmarried)</t>
    </r>
  </si>
  <si>
    <r>
      <t>Demand Satisfied with</t>
    </r>
    <r>
      <rPr>
        <i/>
        <u/>
        <sz val="11"/>
        <rFont val="Calibri"/>
        <family val="2"/>
        <scheme val="minor"/>
      </rPr>
      <t xml:space="preserve"> modern methods</t>
    </r>
    <r>
      <rPr>
        <sz val="11"/>
        <rFont val="Calibri"/>
        <family val="2"/>
        <scheme val="minor"/>
      </rPr>
      <t xml:space="preserve"> (unmarried)</t>
    </r>
  </si>
  <si>
    <r>
      <t xml:space="preserve">Besoin satisfait </t>
    </r>
    <r>
      <rPr>
        <i/>
        <u/>
        <sz val="11"/>
        <color theme="1"/>
        <rFont val="Calibri"/>
        <family val="2"/>
        <scheme val="minor"/>
      </rPr>
      <t>avec méthodes modernes</t>
    </r>
    <r>
      <rPr>
        <i/>
        <sz val="11"/>
        <color theme="1"/>
        <rFont val="Calibri"/>
        <family val="2"/>
        <scheme val="minor"/>
      </rPr>
      <t xml:space="preserve"> </t>
    </r>
    <r>
      <rPr>
        <sz val="11"/>
        <color theme="1"/>
        <rFont val="Calibri"/>
        <family val="2"/>
        <scheme val="minor"/>
      </rPr>
      <t>(femmes non mariées)</t>
    </r>
  </si>
  <si>
    <t>CPR among ALL women</t>
  </si>
  <si>
    <t>mCPR among ALL women</t>
  </si>
  <si>
    <r>
      <t xml:space="preserve">Unmet need </t>
    </r>
    <r>
      <rPr>
        <i/>
        <u/>
        <sz val="11"/>
        <rFont val="Calibri"/>
        <family val="2"/>
        <scheme val="minor"/>
      </rPr>
      <t>for modern methods</t>
    </r>
    <r>
      <rPr>
        <sz val="11"/>
        <rFont val="Calibri"/>
        <family val="2"/>
        <scheme val="minor"/>
      </rPr>
      <t xml:space="preserve"> (ALL)</t>
    </r>
  </si>
  <si>
    <r>
      <t>Demand Satisfied with</t>
    </r>
    <r>
      <rPr>
        <i/>
        <u/>
        <sz val="11"/>
        <rFont val="Calibri"/>
        <family val="2"/>
        <scheme val="minor"/>
      </rPr>
      <t xml:space="preserve"> modern methods</t>
    </r>
    <r>
      <rPr>
        <sz val="11"/>
        <rFont val="Calibri"/>
        <family val="2"/>
        <scheme val="minor"/>
      </rPr>
      <t xml:space="preserve"> (ALL)</t>
    </r>
  </si>
  <si>
    <r>
      <t xml:space="preserve">Besoin satisfait </t>
    </r>
    <r>
      <rPr>
        <i/>
        <u/>
        <sz val="11"/>
        <color theme="1"/>
        <rFont val="Calibri"/>
        <family val="2"/>
        <scheme val="minor"/>
      </rPr>
      <t>avec méthodes modernes</t>
    </r>
    <r>
      <rPr>
        <i/>
        <sz val="11"/>
        <color theme="1"/>
        <rFont val="Calibri"/>
        <family val="2"/>
        <scheme val="minor"/>
      </rPr>
      <t xml:space="preserve"> </t>
    </r>
    <r>
      <rPr>
        <sz val="11"/>
        <color theme="1"/>
        <rFont val="Calibri"/>
        <family val="2"/>
        <scheme val="minor"/>
      </rPr>
      <t>(toutes les femmes)</t>
    </r>
  </si>
  <si>
    <t>Source for % Married 
(if changed default):</t>
  </si>
  <si>
    <t>Source for Population 
(if changed default)</t>
  </si>
  <si>
    <t>Source de population
(en cas de modification de la source par défaut) :</t>
  </si>
  <si>
    <t>Nombre de femmes non mariées (15-49)*</t>
  </si>
  <si>
    <t>Nombre de femmes mariées (15-49)*</t>
  </si>
  <si>
    <t xml:space="preserve">% de femmes mariées </t>
  </si>
  <si>
    <t>Source % de femmes mariées 
(en cas de modification de la source par défaut) :</t>
  </si>
  <si>
    <t>Unmarried Women FPET Results</t>
  </si>
  <si>
    <t>Non-Indicator : Married Modern Users</t>
  </si>
  <si>
    <t>Indicator 1: Additional Married Users</t>
  </si>
  <si>
    <t>Non-Indicator : Unmarried Modern Users</t>
  </si>
  <si>
    <t>Indicator 1: Additional Unmarried Users</t>
  </si>
  <si>
    <t>Lower Bound (2.5 Percentile)</t>
  </si>
  <si>
    <t>Upper Bound (97.5 Percentile)</t>
  </si>
  <si>
    <t>mCP</t>
  </si>
  <si>
    <t>CP</t>
  </si>
  <si>
    <t>mDS</t>
  </si>
  <si>
    <t>mUN</t>
  </si>
  <si>
    <t>UMW</t>
  </si>
  <si>
    <t>TPC traditionnelle chez toutes les femmes</t>
  </si>
  <si>
    <t>Traditional CP among ALL women</t>
  </si>
  <si>
    <t>Traditional CP among unmarried women</t>
  </si>
  <si>
    <t>Traditional CP among married women</t>
  </si>
  <si>
    <t>1. Adding It Up: Investing in Sexual and Reproductive Health, 2019. Appendix Tables: Estimates for groupings of low- and middle-income countries (Table A4)</t>
  </si>
  <si>
    <t>3. WHO.  Trends in maternal mortality: 2000 to 2017: estimates by WHO, UNICEF, UNFPA, World Bank Group and the United Nations Population Division. Geneva: World Health Organization; 2019 (Annex 116)</t>
  </si>
  <si>
    <t>(MMR for 2017 shown)</t>
  </si>
  <si>
    <t>Updated by RR 3/1/2021</t>
  </si>
  <si>
    <t>Regional MMR for "All developing countries" is for "Least developed countries"</t>
  </si>
  <si>
    <t>"Africa,"  as designated by WHO region in Annex 6 and 7 is shown with MMR of 525. Estimate of 481 comes from Annex 14-16 for UNPD designated region "Africa"</t>
  </si>
  <si>
    <t>Unmarried Women</t>
  </si>
  <si>
    <t>Modern Contraceptive Use and Need</t>
  </si>
  <si>
    <t>The Impacts of Modern Contraceptive Use among All Women</t>
  </si>
  <si>
    <t>FOR LOOKUP(</t>
  </si>
  <si>
    <t>mTU</t>
  </si>
  <si>
    <t>mAU</t>
  </si>
  <si>
    <t>Utilisation et besoin de contraceptifs modernes</t>
  </si>
  <si>
    <t>The impact indicators show the impact of modern contraceptives in terms of the negative outcomes that did not occur because women were using modern contraceptives (and therefore did not experience unintended pregnancies, and related consequences).  The 2012 number represents the impact that the total number of women using a modern method of contraception in 2012 (shown above) had in the country (e.g. if none of those women were using modern contraceptives in 2012, there would have been xxx more unintended pregnancies).  Increases from the 2012 number show the additional impacts generated by increasing the number of women using modern contraception and changes in method mix.</t>
  </si>
  <si>
    <t>Les indicateurs d'impact montrent les effets qui ne se sont pas produits parce que les femmes ont utilisé des méthodes de contraception modernes (c'est pourquoi elles n'ont pas vécu des grossesses non désirées, et les conséquences y afférentes). Le nombre 2012 représente l'effet de l'utilisation de méthodes de contraception modernes existantes sur le pays (par exemple, si aucune femme dans le pays n'utilisait une contraception moderne, il y aurait eu plus de xxx grossesses non désirées). Les augmentations par rapport au nombre de 2012 montrent les effets supplémentaires générés par une augmentation du nombre de femmes utilisant une contraception moderne et les changements dans la gamme de méthodes.</t>
  </si>
  <si>
    <t xml:space="preserve">Based on FPET estimates, the likelihood of achieving this goal is: </t>
  </si>
  <si>
    <t xml:space="preserve"> </t>
  </si>
  <si>
    <t xml:space="preserve">Government expenditure </t>
  </si>
  <si>
    <t>, compris les statistiques de service</t>
  </si>
  <si>
    <t>, including service statistics</t>
  </si>
  <si>
    <t>Total users of modern methods of contraception</t>
  </si>
  <si>
    <t>Total des utilisatrices des méthodes modernes de contraception</t>
  </si>
  <si>
    <t>Taux de prévalence contraceptive, méthodes modernes (TPCm)</t>
  </si>
  <si>
    <t xml:space="preserve">Percentage of women estimated to have an unmet need  for modern methods of contraception (mUMN) </t>
  </si>
  <si>
    <t>Percentage of women estimated to have their demand for family planning is satisfied met with a modern method of contraception (mDS)</t>
  </si>
  <si>
    <t>Modern contraceptive prevalence rate (mCPR)</t>
  </si>
  <si>
    <t>Pourcentage de femmes dont les besoins en matière de contraception n’ont pas été satisfaits (BNSm)</t>
  </si>
  <si>
    <t>Pourcentage de femmes dont les besoins en contraception moderne ont été satisfaits (DSm)</t>
  </si>
  <si>
    <t xml:space="preserve">Les impacts de l'utilisation de la contraception moderne chez toutes les femmes </t>
  </si>
  <si>
    <t>FILL WITH 1 vs 0 based on survey Trad Use for Trad use entry below</t>
  </si>
  <si>
    <t>Calculated mCPR (AW)</t>
  </si>
  <si>
    <t>FPET AW</t>
  </si>
  <si>
    <t>Comparaison du TPCM</t>
  </si>
  <si>
    <t xml:space="preserve">If Traditional Prevalence from FPET for all women in the current year is 5% or greater, please include the Traditional Method Use results below. Otherwise you can skip this step. </t>
  </si>
  <si>
    <t xml:space="preserve">*Default population data provided from UNPD WPP 2019.  </t>
  </si>
  <si>
    <t>Width of CI</t>
  </si>
  <si>
    <t>Unmarried women</t>
  </si>
  <si>
    <t>Femmes non mariées</t>
  </si>
  <si>
    <t>Compare Median Results against the 95% Uncertainty Interval</t>
  </si>
  <si>
    <t xml:space="preserve">This space is designed to compare the median results from FPET against the 95% uncertainty interval. </t>
  </si>
  <si>
    <t xml:space="preserve">Select the population to review (all women, married women, or unmarried women). </t>
  </si>
  <si>
    <t>Review Pre-Loaded Assumption Data</t>
  </si>
  <si>
    <t>2-B: Unmarried Women Results &amp; Uncertainty Intervals</t>
  </si>
  <si>
    <t xml:space="preserve">2-B: Résultats de les Femmes Non Mariées &amp; Les Intervalles d'Incertitude </t>
  </si>
  <si>
    <t>2-C: All Women Results &amp; Uncertainty Intervals</t>
  </si>
  <si>
    <t xml:space="preserve">2-C: Résultats de Toutes les Femmes &amp; Les Intervalles d'Incertitude </t>
  </si>
  <si>
    <t>3: Traditional Method Results &amp; Uncertainty Intervals</t>
  </si>
  <si>
    <t xml:space="preserve">3: Résultats de Toutes les Femmes &amp; Les Intervalles d'Incertitude </t>
  </si>
  <si>
    <t>Country/Population</t>
  </si>
  <si>
    <t>ISO 3166-1 numeric</t>
  </si>
  <si>
    <t>ISO 3166-1 alpha-3</t>
  </si>
  <si>
    <t>Marital status</t>
  </si>
  <si>
    <t>Percentile</t>
  </si>
  <si>
    <t>Contraceptive Prevalence (CPR) ('000s)</t>
  </si>
  <si>
    <t>Contraceptive Prevalence (CPR) (%)</t>
  </si>
  <si>
    <t>Prevalence of Modern Methods (mCPR) ('000s)</t>
  </si>
  <si>
    <t>Prevalence of Modern Methods (mCPR) (%)</t>
  </si>
  <si>
    <t>Prevalence of Traditional Methods ('000s)</t>
  </si>
  <si>
    <t>Prevalence of Traditional Methods (%)</t>
  </si>
  <si>
    <t>Total demand for FP ('000s)</t>
  </si>
  <si>
    <t>Total demand for FP (%)</t>
  </si>
  <si>
    <t>Demand for Modern Method ('000s)</t>
  </si>
  <si>
    <t>Demand for Modern Method (%)</t>
  </si>
  <si>
    <t>Demand Satisfied ('000s)</t>
  </si>
  <si>
    <t>Demand Satisfied (%)</t>
  </si>
  <si>
    <t>Demand Satisfied with a Modern Method ('000s)</t>
  </si>
  <si>
    <t>Demand Satisfied with a Modern Method (%)</t>
  </si>
  <si>
    <t>Ratio ('000s)</t>
  </si>
  <si>
    <t>Ratio (%)</t>
  </si>
  <si>
    <t>No need ('000s)</t>
  </si>
  <si>
    <t>No need (%)</t>
  </si>
  <si>
    <t>Unmet need for FP ('000s)</t>
  </si>
  <si>
    <t>Unmet need for FP (%)</t>
  </si>
  <si>
    <t>Unmet need for modern methods ('000s)</t>
  </si>
  <si>
    <t>Unmet need for modern methods (%)</t>
  </si>
  <si>
    <t>median</t>
  </si>
  <si>
    <t>tCP</t>
  </si>
  <si>
    <t>Pop</t>
  </si>
  <si>
    <r>
      <t>Data Source(s):</t>
    </r>
    <r>
      <rPr>
        <sz val="11"/>
        <color theme="1"/>
        <rFont val="Calibri"/>
        <family val="2"/>
        <scheme val="minor"/>
      </rPr>
      <t xml:space="preserve"> Data for this indicator are obtained from UNFPA Supplies Surveys, SPA, SARA, other National Surveys and LMIS Reports, GHSC-PSM Quarterly Reports of stockouts by method.</t>
    </r>
  </si>
  <si>
    <t>Emergency Contraception</t>
  </si>
  <si>
    <t>% of Facilities Stocked Out</t>
  </si>
  <si>
    <r>
      <t>Definition:</t>
    </r>
    <r>
      <rPr>
        <sz val="11"/>
        <color theme="1"/>
        <rFont val="Calibri"/>
        <family val="2"/>
        <scheme val="minor"/>
      </rPr>
      <t xml:space="preserve"> Percentage of facilities stocked out of each type of contraceptive offered, </t>
    </r>
    <r>
      <rPr>
        <u/>
        <sz val="11"/>
        <color theme="1"/>
        <rFont val="Calibri"/>
        <family val="2"/>
        <scheme val="minor"/>
      </rPr>
      <t>on the day of assessment</t>
    </r>
  </si>
  <si>
    <t>Please read the indicator definition above carefully. If your data is based on an different definition, please explain below.</t>
  </si>
  <si>
    <r>
      <t>Definition:</t>
    </r>
    <r>
      <rPr>
        <sz val="11"/>
        <color theme="1"/>
        <rFont val="Calibri"/>
        <family val="2"/>
        <scheme val="minor"/>
      </rPr>
      <t xml:space="preserve"> The percentage of </t>
    </r>
    <r>
      <rPr>
        <u/>
        <sz val="11"/>
        <color theme="1"/>
        <rFont val="Calibri"/>
        <family val="2"/>
        <scheme val="minor"/>
      </rPr>
      <t>primary service delivery points</t>
    </r>
    <r>
      <rPr>
        <sz val="11"/>
        <color theme="1"/>
        <rFont val="Calibri"/>
        <family val="2"/>
        <scheme val="minor"/>
      </rPr>
      <t xml:space="preserve"> that have </t>
    </r>
    <r>
      <rPr>
        <u/>
        <sz val="11"/>
        <color theme="1"/>
        <rFont val="Calibri"/>
        <family val="2"/>
        <scheme val="minor"/>
      </rPr>
      <t xml:space="preserve">at least 3 modern methods </t>
    </r>
    <r>
      <rPr>
        <sz val="11"/>
        <color theme="1"/>
        <rFont val="Calibri"/>
        <family val="2"/>
        <scheme val="minor"/>
      </rPr>
      <t>of contraception availa</t>
    </r>
    <r>
      <rPr>
        <sz val="11"/>
        <rFont val="Calibri"/>
        <family val="2"/>
        <scheme val="minor"/>
      </rPr>
      <t xml:space="preserve">ble </t>
    </r>
    <r>
      <rPr>
        <u/>
        <sz val="11"/>
        <rFont val="Calibri"/>
        <family val="2"/>
        <scheme val="minor"/>
      </rPr>
      <t>on the day of the assessment</t>
    </r>
    <r>
      <rPr>
        <sz val="11"/>
        <rFont val="Calibri"/>
        <family val="2"/>
        <scheme val="minor"/>
      </rPr>
      <t xml:space="preserve">. Typically, primary facilities are the first point of care. </t>
    </r>
  </si>
  <si>
    <r>
      <t>Definition:</t>
    </r>
    <r>
      <rPr>
        <sz val="11"/>
        <color theme="1"/>
        <rFont val="Calibri"/>
        <family val="2"/>
        <scheme val="minor"/>
      </rPr>
      <t xml:space="preserve"> The percentage of </t>
    </r>
    <r>
      <rPr>
        <u/>
        <sz val="11"/>
        <color theme="1"/>
        <rFont val="Calibri"/>
        <family val="2"/>
        <scheme val="minor"/>
      </rPr>
      <t>secondary and tertiary service delivery points</t>
    </r>
    <r>
      <rPr>
        <sz val="11"/>
        <color theme="1"/>
        <rFont val="Calibri"/>
        <family val="2"/>
        <scheme val="minor"/>
      </rPr>
      <t xml:space="preserve"> that have </t>
    </r>
    <r>
      <rPr>
        <u/>
        <sz val="11"/>
        <color theme="1"/>
        <rFont val="Calibri"/>
        <family val="2"/>
        <scheme val="minor"/>
      </rPr>
      <t xml:space="preserve">at least 5 modern methods </t>
    </r>
    <r>
      <rPr>
        <sz val="11"/>
        <color theme="1"/>
        <rFont val="Calibri"/>
        <family val="2"/>
        <scheme val="minor"/>
      </rPr>
      <t xml:space="preserve">of contraception available </t>
    </r>
    <r>
      <rPr>
        <u/>
        <sz val="11"/>
        <color theme="1"/>
        <rFont val="Calibri"/>
        <family val="2"/>
        <scheme val="minor"/>
      </rPr>
      <t>on the day of the assessment</t>
    </r>
    <r>
      <rPr>
        <sz val="11"/>
        <color theme="1"/>
        <rFont val="Calibri"/>
        <family val="2"/>
        <scheme val="minor"/>
      </rPr>
      <t xml:space="preserve">. 
Secondary facilities tend to be referral facilities, such as hospitals. Tertiary facilities tend to be more highly specialized hospitals.  </t>
    </r>
  </si>
  <si>
    <t>1. Percentage of facilities stocked out, by method offered, on the day of assessment  </t>
  </si>
  <si>
    <t>2. Percentage of primary SDPs that have at least 3 modern methods of contraception available on day of assessment</t>
  </si>
  <si>
    <t>3. Percentage of secondary/tertiary SDPs with at least 5 modern methods of contraception available on day of assessment</t>
  </si>
  <si>
    <t>4. Couple Years of Protection (CYPs)</t>
  </si>
  <si>
    <r>
      <t xml:space="preserve">Definition: </t>
    </r>
    <r>
      <rPr>
        <sz val="11"/>
        <rFont val="Calibri"/>
        <family val="2"/>
        <scheme val="minor"/>
      </rPr>
      <t>The estimated protection provided by family planning services during a one year period, based upon the volume of all contraceptives sold or distributed free of charge to clients during that period.</t>
    </r>
  </si>
  <si>
    <r>
      <t xml:space="preserve">Data Source(s): </t>
    </r>
    <r>
      <rPr>
        <sz val="11"/>
        <rFont val="Calibri"/>
        <family val="2"/>
        <scheme val="minor"/>
      </rPr>
      <t xml:space="preserve">This indicator is calculated in the Inputs tab of the SS to EMU Tool for Commodities or Visits data. Data can also come directly from Health Management Information Systems (HMIS) . </t>
    </r>
  </si>
  <si>
    <t>5. Annual expenditure on family planning from government domestic budget</t>
  </si>
  <si>
    <r>
      <t xml:space="preserve">Definition: </t>
    </r>
    <r>
      <rPr>
        <sz val="11"/>
        <rFont val="Calibri"/>
        <family val="2"/>
        <scheme val="minor"/>
      </rPr>
      <t>The total amount of public sector recurrent expenditures on family planning. This includes expenditures by all levels of government.</t>
    </r>
  </si>
  <si>
    <r>
      <t xml:space="preserve">Data Source(s): </t>
    </r>
    <r>
      <rPr>
        <sz val="11"/>
        <rFont val="Calibri"/>
        <family val="2"/>
        <scheme val="minor"/>
      </rPr>
      <t xml:space="preserve">Data for this indicator are obtained either directly from a country's government, a series of surveys conducted by UNFPA, the World Health Organization's System of Health accounts country reports, or from Track20's Family Planning Spending Assessment (FPSA). </t>
    </r>
  </si>
  <si>
    <t>Currency</t>
  </si>
  <si>
    <t xml:space="preserve">Check values in the yellow cells below agaist your FPET results and ensure that the values have pulled through correctly. If the values are not correct, you will need to paste the values for each indicator/population/percentile. </t>
  </si>
  <si>
    <t xml:space="preserve">Paste FPET results into tab labeled "PASTE IN FPET RESULTS". Results should be automatically pulled into this tab for the indicated indicator, year, population, and percentile.  </t>
  </si>
  <si>
    <t>Next: Review Indicator Assumptions</t>
  </si>
  <si>
    <t>Prochain: Examiner les hypothèses relatives aux indicateurs</t>
  </si>
  <si>
    <t>Next: Enter Additional Annual Indicators</t>
  </si>
  <si>
    <t xml:space="preserve">Prochain: Saisir des indicateurs annuels supplémentaires </t>
  </si>
  <si>
    <t>Percentage of SDPs with 3 or 5 Modern Methods of Contraception Available</t>
  </si>
  <si>
    <t>% of Primary SDPs with at least 3 methods available on the day of assessment</t>
  </si>
  <si>
    <t>% of Secondary/Tertiary SDPs with at least 5 methods available on the day of assessment</t>
  </si>
  <si>
    <t>Couple Years of Protection (CYPs)</t>
  </si>
  <si>
    <t>Annual expenditure on family planning from government domestic budget</t>
  </si>
  <si>
    <t>Likelihood of achieving national goal (FPET Target Setting)</t>
  </si>
  <si>
    <t>The cells above are calcuating the average growth of the current &amp; goal trend from starting year of goal to end year of goal</t>
  </si>
  <si>
    <t>Nombre total d'utilisatrices mariées</t>
  </si>
  <si>
    <t>Total Married Users</t>
  </si>
  <si>
    <t>AWmCP50</t>
  </si>
  <si>
    <t>MWmCP50</t>
  </si>
  <si>
    <t>AWmTU50</t>
  </si>
  <si>
    <t>MWmTU50</t>
  </si>
  <si>
    <t>AWmUN50</t>
  </si>
  <si>
    <t>AWmDS50</t>
  </si>
  <si>
    <t>MWmUN50</t>
  </si>
  <si>
    <t>MWmDS50</t>
  </si>
  <si>
    <t xml:space="preserve">Indicateurs clés chez les femmes mariées </t>
  </si>
  <si>
    <t xml:space="preserve">Indicateurs clés chez toutes les femmes </t>
  </si>
  <si>
    <t>Key Indicators among All Women</t>
  </si>
  <si>
    <t>Key Indicators among Married Women</t>
  </si>
  <si>
    <t>Married Modern Users</t>
  </si>
  <si>
    <t>Unmarried Modern Users</t>
  </si>
  <si>
    <t>% Unmarried</t>
  </si>
  <si>
    <t>Unmet Need (Modern)</t>
  </si>
  <si>
    <t>Demand Satisfied (Modern)</t>
  </si>
  <si>
    <t>Contraceptive Use (Modern)</t>
  </si>
  <si>
    <t>Long-Term Trends in Contraceptive Use and Need</t>
  </si>
  <si>
    <t>TPC modern</t>
  </si>
  <si>
    <r>
      <t xml:space="preserve">Besoin satisfait </t>
    </r>
    <r>
      <rPr>
        <i/>
        <u/>
        <sz val="11"/>
        <color theme="1"/>
        <rFont val="Calibri"/>
        <family val="2"/>
        <scheme val="minor"/>
      </rPr>
      <t>avec méthodes modernes</t>
    </r>
  </si>
  <si>
    <r>
      <t xml:space="preserve">Besoin non satisfait </t>
    </r>
    <r>
      <rPr>
        <i/>
        <u/>
        <sz val="11"/>
        <color theme="1"/>
        <rFont val="Calibri"/>
        <family val="2"/>
        <scheme val="minor"/>
      </rPr>
      <t>de méthodes modernes</t>
    </r>
  </si>
  <si>
    <t xml:space="preserve">Projection des tendances à long terme de l'utilisation et des besoins en matière de contraception </t>
  </si>
  <si>
    <t>Projecting Long-Term Trends in Contraceptive Use and Need</t>
  </si>
  <si>
    <t>Are Contraceptives Available at Primary and Secondary/Tertiary SDPs?</t>
  </si>
  <si>
    <t>% of Primary SDPs with 3+ Methods Available</t>
  </si>
  <si>
    <t>% of Secondary/Tertiary SDPs with 5+ Methods Available</t>
  </si>
  <si>
    <t>What % of Facilites are Stocked Out of Contraceptive Methods?</t>
  </si>
  <si>
    <t>Are we investing domestic resources in contraception?</t>
  </si>
  <si>
    <t>CYP</t>
  </si>
  <si>
    <t>CAP</t>
  </si>
  <si>
    <t>% des PPS primaires ayant 3+ méthodes modernes disponibles</t>
  </si>
  <si>
    <t>% des PPS secondaires/tertiaires ayant 5+ méthodes modernes disponibles</t>
  </si>
  <si>
    <t>Des contraceptifs sont-ils disponibles dans les PPS primaires et secondaires/tertiaires ?</t>
  </si>
  <si>
    <t>Quel % d'établissements sont en rupture de stock de méthodes contraceptives ?</t>
  </si>
  <si>
    <t>Domestic Governement Expenditure</t>
  </si>
  <si>
    <t>Depenses publiques nationales</t>
  </si>
  <si>
    <t>Dépenses publiques nationales pour la planification familiale</t>
  </si>
  <si>
    <t>Investissons-nous des ressources nationales dans la contraception ?</t>
  </si>
  <si>
    <t>Are we scaling up family planning service provision (CYPs)?</t>
  </si>
  <si>
    <t>Allons-nous intensifier l'offre de services de planification familiale (CAP) ?</t>
  </si>
  <si>
    <t>Data Unavailable</t>
  </si>
  <si>
    <t>Données non disponibles</t>
  </si>
  <si>
    <t>*Current is based on 2021 FPET run</t>
  </si>
  <si>
    <t>FPET Results include Service Statistics</t>
  </si>
  <si>
    <t>Les résultats FPET incluent les statistiques de service</t>
  </si>
  <si>
    <t>Comparaison du besoin non satisfait de méthodes modernes</t>
  </si>
  <si>
    <t>Comparaison du besoin satisfait avec méthodes modernes</t>
  </si>
  <si>
    <t>Lower Bound (2.5%)</t>
  </si>
  <si>
    <t>Upper Bound (97.5%)</t>
  </si>
  <si>
    <t>Median Estimate (50%)</t>
  </si>
  <si>
    <t>Borne inférieure (2.5%)</t>
  </si>
  <si>
    <t>Estimation médiane (50%)</t>
  </si>
  <si>
    <t>Borne supérieure (97.5%)</t>
  </si>
  <si>
    <t>Comparing Demand Satisfied with a Modern Method (mDS)</t>
  </si>
  <si>
    <t>Comparing Unmet Need for a Modern Method (mUMN)</t>
  </si>
  <si>
    <t>Comparing Modern Contraceptive Prevalence (mCPR)</t>
  </si>
  <si>
    <t xml:space="preserve">Sélectionnez la population à examiner (toutes les femmes, les femmes mariées ou les femmes non mariées). </t>
  </si>
  <si>
    <t xml:space="preserve">Cet espace est conçu pour comparer les résultats médians du FPET à l'intervalle d'incertitude de 95 %. </t>
  </si>
  <si>
    <t xml:space="preserve">Comparer les résultats médians à l'intervalle d'incertitude de 95 % </t>
  </si>
  <si>
    <t>2019-20 DHS</t>
  </si>
  <si>
    <t>Updated June 2021</t>
  </si>
  <si>
    <t>2019 DHS</t>
  </si>
  <si>
    <t>Quelle est l'enquête la plus récente utilisée en FPET ?</t>
  </si>
  <si>
    <t>2. Pourcentage des PPS primaires ayant au moins 3 méthodes modernes de contraception disponibles au jour de l’enquête</t>
  </si>
  <si>
    <r>
      <t>Définition</t>
    </r>
    <r>
      <rPr>
        <sz val="11"/>
        <color theme="1"/>
        <rFont val="Calibri"/>
        <family val="2"/>
        <scheme val="minor"/>
      </rPr>
      <t xml:space="preserve">: Pourcentage des points de prestation de services (PPS) dans lesquels au moins 3 méthodes modernes de contraception sont disponibles au jour de l’enquête. </t>
    </r>
  </si>
  <si>
    <r>
      <t xml:space="preserve">Source: </t>
    </r>
    <r>
      <rPr>
        <sz val="11"/>
        <rFont val="Calibri"/>
        <family val="2"/>
        <scheme val="minor"/>
      </rPr>
      <t xml:space="preserve">Enquêtes sur les établissements UNFPA; enquêtes sur les établissements PMA2020; HMIS; USAID. </t>
    </r>
  </si>
  <si>
    <r>
      <t>Définition</t>
    </r>
    <r>
      <rPr>
        <sz val="11"/>
        <color theme="1"/>
        <rFont val="Calibri"/>
        <family val="2"/>
        <scheme val="minor"/>
      </rPr>
      <t>:  Pourcentage des points de prestation de services (PPS) secondaires et tertiaires dans lesquels au moins 5 méthodes modernes de contraception sont disponibles au jour de l’enquête</t>
    </r>
  </si>
  <si>
    <r>
      <rPr>
        <b/>
        <sz val="11"/>
        <color theme="1"/>
        <rFont val="Calibri"/>
        <family val="2"/>
        <scheme val="minor"/>
      </rPr>
      <t>Définition</t>
    </r>
    <r>
      <rPr>
        <sz val="11"/>
        <color theme="1"/>
        <rFont val="Calibri"/>
        <family val="2"/>
        <scheme val="minor"/>
      </rPr>
      <t>: Le pourcentage d’établissements en rupture de stock pour chaque type de contraceptif proposé, au jour de l’enquête.</t>
    </r>
  </si>
  <si>
    <r>
      <t xml:space="preserve">Source: </t>
    </r>
    <r>
      <rPr>
        <sz val="11"/>
        <color theme="1"/>
        <rFont val="Calibri"/>
        <family val="2"/>
        <scheme val="minor"/>
      </rPr>
      <t>Enquêtes sur les établissements de l’UNFPA ; enquêtes sur les établissements de PMA2020 ; autres enquêtes sur les établissements et données des Systèmes d’information de gestion logistique (SIGL).</t>
    </r>
  </si>
  <si>
    <t>1. Pourcentage d’établissements en rupture de stock, par méthode proposée, au jour de l’enquête</t>
  </si>
  <si>
    <t>3. Pourcentage des PPS secondaires/tertiaires ayant au moins 5 méthodes modernes de contraception disponibles au jour de l’enquête</t>
  </si>
  <si>
    <t>Couple-année de protection (CAP)</t>
  </si>
  <si>
    <r>
      <rPr>
        <b/>
        <sz val="11"/>
        <color theme="1"/>
        <rFont val="Calibri"/>
        <family val="2"/>
        <scheme val="minor"/>
      </rPr>
      <t>Définition</t>
    </r>
    <r>
      <rPr>
        <sz val="11"/>
        <color theme="1"/>
        <rFont val="Calibri"/>
        <family val="2"/>
        <scheme val="minor"/>
      </rPr>
      <t>: La protection estimée assurée par les services de planification familiale au cours d’une période d’un an, sur la base du volume de tous les contraceptifs vendus ou distribués gratuitement aux clients au cours de cette période. Le CAP est calculé en multipliant la quantité de chaque méthode distribuée aux clients par le facteur de conversion, ce qui permet d’obtenir une estimation de la durée de la protection contraceptive fournie par
unité de cette méthode.</t>
    </r>
  </si>
  <si>
    <r>
      <t>Source</t>
    </r>
    <r>
      <rPr>
        <sz val="11"/>
        <color theme="1"/>
        <rFont val="Calibri"/>
        <family val="2"/>
        <scheme val="minor"/>
      </rPr>
      <t>: Calculé à partir des Systèmes d’information de gestion de la santé (SIGS), des Systèmes d’information de gestion logistique (SIGL) ou d’autres sources de statistiques de services.</t>
    </r>
  </si>
  <si>
    <r>
      <rPr>
        <b/>
        <sz val="11"/>
        <color theme="1"/>
        <rFont val="Calibri"/>
        <family val="2"/>
        <scheme val="minor"/>
      </rPr>
      <t>Defintion:</t>
    </r>
    <r>
      <rPr>
        <sz val="11"/>
        <color theme="1"/>
        <rFont val="Calibri"/>
        <family val="2"/>
        <scheme val="minor"/>
      </rPr>
      <t xml:space="preserve"> Ce sont les dépenses récurrentes annuelles totales du secteur public pour la planification familiale. Cela comprend les dépenses de tous les niveaux du gouvernement.</t>
    </r>
  </si>
  <si>
    <r>
      <rPr>
        <b/>
        <sz val="11"/>
        <color theme="1"/>
        <rFont val="Calibri"/>
        <family val="2"/>
        <scheme val="minor"/>
      </rPr>
      <t>Source</t>
    </r>
    <r>
      <rPr>
        <sz val="11"/>
        <color theme="1"/>
        <rFont val="Calibri"/>
        <family val="2"/>
        <scheme val="minor"/>
      </rPr>
      <t>: Système de compte de la santé de l’OMS (OMS/SCS) ; projet de suivi de ressources sur les dépense de PF de l’UNFPA et l’Institut démographique interdisciplinaire des Pays-Bas (UNFPA/NIDI) ; évaluation des dépense consacrées à la PF menée par des consultants nationaux en collaboration avec Track20 (FPSA)</t>
    </r>
  </si>
  <si>
    <t>Veuillez lire attentivement la définition de l'indicateur ci-dessus. Si vos données sont basées sur une définition différente, veuillez expliquer ci-dessous.</t>
  </si>
  <si>
    <t>Percentage of facilities stocked out, by method offered, on the day of assessment  </t>
  </si>
  <si>
    <t>Pourcentage de PPS avec 3 ou 5 méthodes modernes de contraception disponibles</t>
  </si>
  <si>
    <t>% des PPS primaires ayant au moins 3 méthodes modernes disponibles au jour de l’enquête</t>
  </si>
  <si>
    <t>% des PPS secondaires/tertiaires ayant au moins 5 méthodes modernes de contraception disponibles au jour de l’enquête</t>
  </si>
  <si>
    <t>"---" indique qu'aucune donnée n'est disponible</t>
  </si>
  <si>
    <t>"---" indicates no data is available</t>
  </si>
  <si>
    <t>1: Notez les détails concernant votre fichier de FPET</t>
  </si>
  <si>
    <t>GO TO FPET INPUT TAB TO PASTE IN RESULTS</t>
  </si>
  <si>
    <t>ALLER À L'ONGLET SAISIE FPET POUR COLLER DANS LES RÉSULTATS</t>
  </si>
  <si>
    <t>Analyse d'agent S&amp;E pour Track20</t>
  </si>
  <si>
    <t>* Se référe au besoin de méthodes modernes de contraceptives</t>
  </si>
  <si>
    <t xml:space="preserve">Sur la base des projections du FPET, la probabilité d'atteindre cet objectif est </t>
  </si>
  <si>
    <t>Comparant l'objectif national au progrès actuel</t>
  </si>
  <si>
    <t>*La valeur actuelle est basée sur la projection du FPET 2021</t>
  </si>
  <si>
    <t>Utilisatrices additionnelles par chaque augmentation d'un point de % en TPCM (toutes les femmes)</t>
  </si>
  <si>
    <t>utilisatrices additionnelles par méthodes modernes de contraception</t>
  </si>
  <si>
    <t>Current Month</t>
  </si>
  <si>
    <t>Contraception d'Urgence</t>
  </si>
  <si>
    <t xml:space="preserve">Utilisation et disponibilité de la contraception par méthode </t>
  </si>
  <si>
    <t>Contraceptive Use and Availability by Method</t>
  </si>
  <si>
    <t>Investment in Family Planning</t>
  </si>
  <si>
    <t>Investissement dans la planification familiale</t>
  </si>
  <si>
    <t>Toutes les Femmes</t>
  </si>
  <si>
    <t>Femmes Mariées</t>
  </si>
  <si>
    <t>Femmes Non Mariées</t>
  </si>
  <si>
    <t>FP2030 Annual Indicator Calculator: Review FPET Inputs</t>
  </si>
  <si>
    <t>Calculateur d'indicateurs annuels de FP2030 : Entrées FPET</t>
  </si>
  <si>
    <t>Calculateur d'indicateurs annuels de FP2030 : Revoir les hypothèses</t>
  </si>
  <si>
    <t xml:space="preserve">Calculateur d'indicateurs annuels de FP2030: déclarer d'autres indicateurs annuels </t>
  </si>
  <si>
    <t>% d’établissements en rupture de stock</t>
  </si>
  <si>
    <t>Dépenses publiques</t>
  </si>
  <si>
    <t>FP2030 Annual Indicator Calculator: Results 2021</t>
  </si>
  <si>
    <t>Calculateur d'indicateurs annuels de FP2030: Résultats 2021</t>
  </si>
  <si>
    <t>FP2030 Annual Indicator Calculator: Review Indicator Assumptions</t>
  </si>
  <si>
    <t>FP2030 Annual Indicator Calculator: Report on Other Annual Indicators</t>
  </si>
  <si>
    <t>For more information about the FP2030 Core Indicators, please visit:</t>
  </si>
  <si>
    <t>Pour plus d'informations sur les indicateurs de base FP2030, s'il vous plaît visitez:</t>
  </si>
  <si>
    <t>Si la prévalence traditionnelle de la FPET pour toutes les femmes au cours de l'année en cours est de 5 % ou plus, veuillez inclure les résultats de l'utilisation de la méthode traditionnelle ci-dessous. Sinon, vous pouvez sauter cette étape.</t>
  </si>
  <si>
    <t xml:space="preserve">Année </t>
  </si>
  <si>
    <t>Valeur (%)</t>
  </si>
  <si>
    <t>Veuillez fournir des informations sur d'autres indicateurs annuels qui sont signalés au niveau du pays : ruptures de stock, CAP et dépenses de PF.</t>
  </si>
  <si>
    <t>Type de données</t>
  </si>
  <si>
    <t>par exemple : DHIS2, SNIS</t>
  </si>
  <si>
    <t>par exemple : visites de clients, produits distribués aux clients</t>
  </si>
  <si>
    <t>Devise</t>
  </si>
  <si>
    <t>En utilisant l'onglet de cible dans FPET, entrez vos informations d'objectif pour produire la probabilité d'atteindre l'objectif.</t>
  </si>
  <si>
    <t>Collez les résultats FPET dans l'onglet intitulé « PASTE IN FPET RESULTS ». Les résultats doivent être automatiquement extraits dans cet onglet pour l'indicateur, l'année, la population et le centile indiqués.</t>
  </si>
  <si>
    <t>Vérifiez les valeurs dans les cellules jaunes ci-dessous par rapport à vos résultats FPET et assurez-vous que les valeurs ont été correctement transmises. Si les valeurs ne sont pas correctes, vous devrez coller les valeurs pour chaque indicateur/population/centile.</t>
  </si>
  <si>
    <t xml:space="preserve">This is used to calculate the number of users of modern contraceptive methods and the impacts of contraceptive use. </t>
  </si>
  <si>
    <t xml:space="preserve">Cela est utilisé pour calculer le nombre d'utilisatrices de méthodes de contraception modernes &amp; les impacts de l'utilisation de contraceptifs modernes. </t>
  </si>
  <si>
    <t xml:space="preserve">This is used to calculate the number of unintended pregnancies. </t>
  </si>
  <si>
    <t xml:space="preserve">Cela est utilisé pour calculer le nombre de grossesses non désirées. </t>
  </si>
  <si>
    <t xml:space="preserve">This is converted into modern method mix. </t>
  </si>
  <si>
    <t xml:space="preserve">Cela est converti en gamme de méthodes modernes. </t>
  </si>
  <si>
    <t xml:space="preserve">Please provide information on other annual indicators that are reported at the country level : Stockouts, CYPs, and FP Expenditures. </t>
  </si>
  <si>
    <t>married</t>
  </si>
  <si>
    <t>unmarried</t>
  </si>
  <si>
    <t>all</t>
  </si>
  <si>
    <t>FOR LOOKUP</t>
  </si>
  <si>
    <t>Value (%)</t>
  </si>
  <si>
    <t>Data Type</t>
  </si>
  <si>
    <t>CYPs</t>
  </si>
  <si>
    <t>Additional users per each % point increase in mCPR (All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</si>
</sst>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409]mmmm\ yyyy;@"/>
    <numFmt numFmtId="169" formatCode="#,##0.0_);\(#,##0.0\)"/>
    <numFmt numFmtId="170" formatCode="mmmm\ yyyy"/>
    <numFmt numFmtId="171" formatCode="0.000%"/>
    <numFmt numFmtId="172" formatCode="0.00000%"/>
  </numFmts>
  <fonts count="1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indexed="8"/>
      <name val="Calibri"/>
      <family val="2"/>
    </font>
    <font>
      <sz val="8"/>
      <color theme="1"/>
      <name val="Calibri"/>
      <family val="2"/>
      <scheme val="minor"/>
    </font>
    <font>
      <b/>
      <sz val="13"/>
      <color theme="1"/>
      <name val="Calibri"/>
      <family val="2"/>
      <scheme val="minor"/>
    </font>
    <font>
      <i/>
      <sz val="11"/>
      <color theme="1"/>
      <name val="Calibri"/>
      <family val="2"/>
      <scheme val="minor"/>
    </font>
    <font>
      <sz val="11"/>
      <color rgb="FF000000"/>
      <name val="Calibri"/>
      <family val="2"/>
    </font>
    <font>
      <b/>
      <sz val="12"/>
      <color theme="1"/>
      <name val="Calibri"/>
      <family val="2"/>
      <scheme val="minor"/>
    </font>
    <font>
      <u/>
      <sz val="11"/>
      <color theme="10"/>
      <name val="Calibri"/>
      <family val="2"/>
      <scheme val="minor"/>
    </font>
    <font>
      <b/>
      <i/>
      <sz val="11"/>
      <color theme="1"/>
      <name val="Calibri"/>
      <family val="2"/>
      <scheme val="minor"/>
    </font>
    <font>
      <b/>
      <sz val="18"/>
      <color theme="1"/>
      <name val="Calibri"/>
      <family val="2"/>
      <scheme val="minor"/>
    </font>
    <font>
      <sz val="11"/>
      <color rgb="FF203864"/>
      <name val="Calibri"/>
      <family val="2"/>
      <scheme val="minor"/>
    </font>
    <font>
      <sz val="11"/>
      <color rgb="FF203864"/>
      <name val="Arial"/>
      <family val="2"/>
    </font>
    <font>
      <sz val="11"/>
      <name val="Calibri"/>
      <family val="2"/>
      <scheme val="minor"/>
    </font>
    <font>
      <sz val="11"/>
      <color rgb="FFFF0000"/>
      <name val="Calibri"/>
      <family val="2"/>
      <scheme val="minor"/>
    </font>
    <font>
      <sz val="11"/>
      <color theme="1"/>
      <name val="Wingdings"/>
      <charset val="2"/>
    </font>
    <font>
      <sz val="11"/>
      <color rgb="FFFF0000"/>
      <name val="Calibri"/>
      <family val="2"/>
    </font>
    <font>
      <i/>
      <u/>
      <sz val="11"/>
      <name val="Calibri"/>
      <family val="2"/>
      <scheme val="minor"/>
    </font>
    <font>
      <i/>
      <u/>
      <sz val="11"/>
      <color theme="1"/>
      <name val="Calibri"/>
      <family val="2"/>
      <scheme val="minor"/>
    </font>
    <font>
      <u/>
      <sz val="11"/>
      <color theme="1"/>
      <name val="Calibri"/>
      <family val="2"/>
      <scheme val="minor"/>
    </font>
    <font>
      <b/>
      <sz val="18"/>
      <color rgb="FF2F5496"/>
      <name val="Calibri"/>
      <family val="2"/>
      <scheme val="minor"/>
    </font>
    <font>
      <sz val="11"/>
      <color rgb="FF2F5496"/>
      <name val="Calibri"/>
      <family val="2"/>
      <scheme val="minor"/>
    </font>
    <font>
      <b/>
      <sz val="16"/>
      <color theme="0"/>
      <name val="Calibri"/>
      <family val="2"/>
      <scheme val="minor"/>
    </font>
    <font>
      <sz val="10"/>
      <name val="Calibri"/>
      <family val="2"/>
      <scheme val="minor"/>
    </font>
    <font>
      <sz val="11"/>
      <color rgb="FF9C6500"/>
      <name val="Calibri"/>
      <family val="2"/>
      <scheme val="minor"/>
    </font>
    <font>
      <sz val="11"/>
      <color theme="0"/>
      <name val="Calibri"/>
      <family val="2"/>
      <scheme val="minor"/>
    </font>
    <font>
      <i/>
      <sz val="11"/>
      <color theme="0"/>
      <name val="Calibri"/>
      <family val="2"/>
      <scheme val="minor"/>
    </font>
    <font>
      <sz val="11"/>
      <color theme="3"/>
      <name val="Calibri"/>
      <family val="2"/>
      <scheme val="minor"/>
    </font>
    <font>
      <i/>
      <sz val="11"/>
      <color theme="1"/>
      <name val="Calibri"/>
      <family val="2"/>
    </font>
    <font>
      <sz val="12"/>
      <color theme="1"/>
      <name val="Calibri"/>
      <family val="2"/>
      <scheme val="minor"/>
    </font>
    <font>
      <b/>
      <sz val="14"/>
      <color theme="0"/>
      <name val="Calibri"/>
      <family val="2"/>
      <scheme val="minor"/>
    </font>
    <font>
      <b/>
      <i/>
      <sz val="11"/>
      <color theme="7" tint="-0.499984740745262"/>
      <name val="Calibri"/>
      <family val="2"/>
      <scheme val="minor"/>
    </font>
    <font>
      <b/>
      <sz val="18"/>
      <color theme="3"/>
      <name val="Calibri"/>
      <family val="2"/>
      <scheme val="minor"/>
    </font>
    <font>
      <b/>
      <sz val="11"/>
      <color theme="3"/>
      <name val="Calibri"/>
      <family val="2"/>
      <scheme val="minor"/>
    </font>
    <font>
      <b/>
      <sz val="11"/>
      <color theme="0"/>
      <name val="Calibri"/>
      <family val="2"/>
      <scheme val="minor"/>
    </font>
    <font>
      <sz val="11"/>
      <color theme="1"/>
      <name val="Calibri"/>
      <family val="2"/>
    </font>
    <font>
      <b/>
      <sz val="11"/>
      <color rgb="FF000000"/>
      <name val="Calibri"/>
      <family val="2"/>
    </font>
    <font>
      <b/>
      <sz val="11"/>
      <color theme="1"/>
      <name val="Calibri"/>
      <family val="2"/>
    </font>
    <font>
      <sz val="14"/>
      <color theme="1"/>
      <name val="Calibri"/>
      <family val="2"/>
      <scheme val="minor"/>
    </font>
    <font>
      <sz val="10"/>
      <color theme="1"/>
      <name val="Calibri"/>
      <family val="2"/>
      <scheme val="minor"/>
    </font>
    <font>
      <b/>
      <sz val="36"/>
      <color theme="0"/>
      <name val="Calibri"/>
      <family val="2"/>
      <scheme val="minor"/>
    </font>
    <font>
      <b/>
      <sz val="22"/>
      <color theme="0"/>
      <name val="Calibri"/>
      <family val="2"/>
      <scheme val="minor"/>
    </font>
    <font>
      <b/>
      <i/>
      <sz val="20"/>
      <color theme="2"/>
      <name val="Calibri"/>
      <family val="2"/>
      <scheme val="minor"/>
    </font>
    <font>
      <sz val="16"/>
      <color theme="0"/>
      <name val="Calibri"/>
      <family val="2"/>
      <scheme val="minor"/>
    </font>
    <font>
      <b/>
      <sz val="10"/>
      <color theme="1"/>
      <name val="Calibri"/>
      <family val="2"/>
      <scheme val="minor"/>
    </font>
    <font>
      <b/>
      <i/>
      <sz val="10"/>
      <color theme="1"/>
      <name val="Calibri"/>
      <family val="2"/>
      <scheme val="minor"/>
    </font>
    <font>
      <sz val="9"/>
      <color theme="1"/>
      <name val="Calibri"/>
      <family val="2"/>
      <scheme val="minor"/>
    </font>
    <font>
      <i/>
      <sz val="10"/>
      <color theme="1"/>
      <name val="Calibri"/>
      <family val="2"/>
      <scheme val="minor"/>
    </font>
    <font>
      <i/>
      <sz val="9"/>
      <color theme="1"/>
      <name val="Calibri"/>
      <family val="2"/>
      <scheme val="minor"/>
    </font>
    <font>
      <b/>
      <sz val="18"/>
      <color theme="2"/>
      <name val="Calibri"/>
      <family val="2"/>
      <scheme val="minor"/>
    </font>
    <font>
      <b/>
      <i/>
      <sz val="18"/>
      <color theme="3"/>
      <name val="Calibri"/>
      <family val="2"/>
      <scheme val="minor"/>
    </font>
    <font>
      <b/>
      <sz val="12"/>
      <color theme="3"/>
      <name val="Calibri"/>
      <family val="2"/>
      <scheme val="minor"/>
    </font>
    <font>
      <b/>
      <sz val="11"/>
      <color rgb="FFFF0000"/>
      <name val="Calibri"/>
      <family val="2"/>
      <scheme val="minor"/>
    </font>
    <font>
      <b/>
      <sz val="16"/>
      <color theme="1"/>
      <name val="Calibri"/>
      <family val="2"/>
      <scheme val="minor"/>
    </font>
    <font>
      <b/>
      <i/>
      <sz val="12"/>
      <color theme="2"/>
      <name val="Calibri"/>
      <family val="2"/>
      <scheme val="minor"/>
    </font>
    <font>
      <sz val="8"/>
      <color rgb="FF000000"/>
      <name val="Verdana"/>
      <family val="2"/>
    </font>
    <font>
      <b/>
      <i/>
      <sz val="8"/>
      <color rgb="FF000000"/>
      <name val="Verdana"/>
      <family val="2"/>
    </font>
    <font>
      <b/>
      <sz val="9"/>
      <color rgb="FF336699"/>
      <name val="Verdana"/>
      <family val="2"/>
    </font>
    <font>
      <b/>
      <sz val="8"/>
      <color rgb="FF000000"/>
      <name val="Verdana"/>
      <family val="2"/>
    </font>
    <font>
      <b/>
      <sz val="11"/>
      <color theme="1"/>
      <name val="Calibri Light"/>
      <family val="2"/>
    </font>
    <font>
      <sz val="10"/>
      <color rgb="FF000000"/>
      <name val="Calibri Light"/>
      <family val="2"/>
    </font>
    <font>
      <b/>
      <sz val="18"/>
      <color theme="0"/>
      <name val="Calibri"/>
      <family val="2"/>
      <scheme val="minor"/>
    </font>
    <font>
      <b/>
      <sz val="12"/>
      <color theme="0"/>
      <name val="Calibri"/>
      <family val="2"/>
      <scheme val="minor"/>
    </font>
    <font>
      <b/>
      <sz val="26"/>
      <color theme="0"/>
      <name val="Calibri"/>
      <family val="2"/>
      <scheme val="minor"/>
    </font>
    <font>
      <b/>
      <sz val="28"/>
      <color theme="0"/>
      <name val="Calibri"/>
      <family val="2"/>
      <scheme val="minor"/>
    </font>
    <font>
      <sz val="14"/>
      <color theme="0"/>
      <name val="Calibri"/>
      <family val="2"/>
      <scheme val="minor"/>
    </font>
    <font>
      <sz val="11"/>
      <color rgb="FF212121"/>
      <name val="Arial"/>
      <family val="2"/>
    </font>
    <font>
      <sz val="10"/>
      <color rgb="FFFF0000"/>
      <name val="Calibri"/>
      <family val="2"/>
      <scheme val="minor"/>
    </font>
    <font>
      <sz val="12"/>
      <name val="Calibri"/>
      <family val="2"/>
      <scheme val="minor"/>
    </font>
    <font>
      <b/>
      <sz val="10"/>
      <color theme="1"/>
      <name val="Calibri Light"/>
      <family val="2"/>
    </font>
    <font>
      <b/>
      <sz val="8"/>
      <color theme="1"/>
      <name val="Calibri"/>
      <family val="2"/>
      <scheme val="minor"/>
    </font>
    <font>
      <sz val="8"/>
      <name val="Calibri"/>
      <family val="2"/>
      <scheme val="minor"/>
    </font>
    <font>
      <i/>
      <sz val="8"/>
      <color theme="1"/>
      <name val="Calibri"/>
      <family val="2"/>
      <scheme val="minor"/>
    </font>
    <font>
      <b/>
      <sz val="9"/>
      <color indexed="81"/>
      <name val="Tahoma"/>
      <family val="2"/>
    </font>
    <font>
      <sz val="9"/>
      <color indexed="81"/>
      <name val="Tahoma"/>
      <family val="2"/>
    </font>
    <font>
      <sz val="18"/>
      <color theme="3"/>
      <name val="Calibri"/>
      <family val="2"/>
      <scheme val="minor"/>
    </font>
    <font>
      <b/>
      <sz val="16"/>
      <color theme="3"/>
      <name val="Calibri"/>
      <family val="2"/>
      <scheme val="minor"/>
    </font>
    <font>
      <sz val="14"/>
      <color theme="3"/>
      <name val="Calibri"/>
      <family val="2"/>
      <scheme val="minor"/>
    </font>
    <font>
      <b/>
      <sz val="24"/>
      <color theme="3"/>
      <name val="Calibri"/>
      <family val="2"/>
      <scheme val="minor"/>
    </font>
    <font>
      <b/>
      <i/>
      <sz val="22"/>
      <color theme="3" tint="-0.249977111117893"/>
      <name val="Calibri"/>
      <family val="2"/>
      <scheme val="minor"/>
    </font>
    <font>
      <b/>
      <i/>
      <sz val="14"/>
      <color theme="7" tint="-0.499984740745262"/>
      <name val="Calibri"/>
      <family val="2"/>
      <scheme val="minor"/>
    </font>
    <font>
      <b/>
      <i/>
      <sz val="14"/>
      <color rgb="FFFF0000"/>
      <name val="Calibri"/>
      <family val="2"/>
      <scheme val="minor"/>
    </font>
    <font>
      <b/>
      <i/>
      <sz val="18"/>
      <color theme="0"/>
      <name val="Calibri"/>
      <family val="2"/>
      <scheme val="minor"/>
    </font>
    <font>
      <b/>
      <sz val="9"/>
      <name val="Arial"/>
      <family val="2"/>
    </font>
    <font>
      <sz val="9"/>
      <name val="Arial"/>
      <family val="2"/>
    </font>
    <font>
      <b/>
      <sz val="16"/>
      <name val="Calibri"/>
      <family val="2"/>
      <scheme val="minor"/>
    </font>
    <font>
      <b/>
      <sz val="14"/>
      <color theme="3"/>
      <name val="Calibri"/>
      <family val="2"/>
      <scheme val="minor"/>
    </font>
    <font>
      <i/>
      <sz val="10"/>
      <color theme="0"/>
      <name val="Calibri"/>
      <family val="2"/>
      <scheme val="minor"/>
    </font>
    <font>
      <b/>
      <sz val="11"/>
      <name val="Calibri"/>
      <family val="2"/>
      <scheme val="minor"/>
    </font>
    <font>
      <i/>
      <sz val="11"/>
      <name val="Calibri"/>
      <family val="2"/>
      <scheme val="minor"/>
    </font>
    <font>
      <b/>
      <sz val="12"/>
      <color theme="5"/>
      <name val="Calibri"/>
      <family val="2"/>
      <scheme val="minor"/>
    </font>
    <font>
      <b/>
      <sz val="12"/>
      <color theme="7"/>
      <name val="Calibri"/>
      <family val="2"/>
      <scheme val="minor"/>
    </font>
    <font>
      <b/>
      <sz val="12"/>
      <color theme="8"/>
      <name val="Calibri"/>
      <family val="2"/>
      <scheme val="minor"/>
    </font>
    <font>
      <b/>
      <sz val="12"/>
      <color theme="9"/>
      <name val="Calibri"/>
      <family val="2"/>
      <scheme val="minor"/>
    </font>
    <font>
      <b/>
      <sz val="12"/>
      <color rgb="FF009900"/>
      <name val="Calibri"/>
      <family val="2"/>
      <scheme val="minor"/>
    </font>
    <font>
      <b/>
      <sz val="11"/>
      <color rgb="FFC00000"/>
      <name val="Calibri"/>
      <family val="2"/>
      <scheme val="minor"/>
    </font>
    <font>
      <b/>
      <i/>
      <sz val="10"/>
      <name val="Calibri"/>
      <family val="2"/>
      <scheme val="minor"/>
    </font>
    <font>
      <b/>
      <i/>
      <sz val="11"/>
      <name val="Calibri"/>
      <family val="2"/>
      <scheme val="minor"/>
    </font>
    <font>
      <b/>
      <sz val="20"/>
      <color theme="0"/>
      <name val="Calibri"/>
      <family val="2"/>
      <scheme val="minor"/>
    </font>
    <font>
      <sz val="20"/>
      <color theme="0"/>
      <name val="Calibri"/>
      <family val="2"/>
      <scheme val="minor"/>
    </font>
    <font>
      <sz val="16"/>
      <color theme="3"/>
      <name val="Calibri"/>
      <family val="2"/>
      <scheme val="minor"/>
    </font>
    <font>
      <i/>
      <sz val="14"/>
      <name val="Calibri"/>
      <family val="2"/>
      <scheme val="minor"/>
    </font>
    <font>
      <b/>
      <sz val="20"/>
      <color theme="3"/>
      <name val="Calibri"/>
      <family val="2"/>
      <scheme val="minor"/>
    </font>
    <font>
      <b/>
      <u/>
      <sz val="11"/>
      <color theme="10"/>
      <name val="Calibri"/>
      <family val="2"/>
      <scheme val="minor"/>
    </font>
    <font>
      <b/>
      <i/>
      <sz val="16"/>
      <color theme="3"/>
      <name val="Calibri"/>
      <family val="2"/>
      <scheme val="minor"/>
    </font>
    <font>
      <i/>
      <sz val="11"/>
      <color theme="7" tint="-0.249977111117893"/>
      <name val="Calibri"/>
      <family val="2"/>
      <scheme val="minor"/>
    </font>
    <font>
      <i/>
      <u/>
      <sz val="11"/>
      <color theme="7" tint="-0.249977111117893"/>
      <name val="Calibri"/>
      <family val="2"/>
      <scheme val="minor"/>
    </font>
    <font>
      <sz val="11"/>
      <color rgb="FF00B050"/>
      <name val="Calibri"/>
      <family val="2"/>
      <scheme val="minor"/>
    </font>
    <font>
      <i/>
      <sz val="9"/>
      <name val="Calibri"/>
      <family val="2"/>
      <scheme val="minor"/>
    </font>
    <font>
      <b/>
      <i/>
      <sz val="11"/>
      <color rgb="FFFF0000"/>
      <name val="Calibri"/>
      <family val="2"/>
      <scheme val="minor"/>
    </font>
    <font>
      <sz val="14"/>
      <color theme="2"/>
      <name val="Calibri"/>
      <family val="2"/>
      <scheme val="minor"/>
    </font>
    <font>
      <b/>
      <sz val="14"/>
      <name val="Calibri"/>
      <family val="2"/>
      <scheme val="minor"/>
    </font>
    <font>
      <i/>
      <sz val="11"/>
      <color rgb="FF2F5496"/>
      <name val="Calibri Light"/>
      <family val="2"/>
    </font>
    <font>
      <u/>
      <sz val="11"/>
      <name val="Calibri"/>
      <family val="2"/>
      <scheme val="minor"/>
    </font>
    <font>
      <b/>
      <i/>
      <sz val="10"/>
      <color theme="7" tint="-0.499984740745262"/>
      <name val="Calibri"/>
      <family val="2"/>
      <scheme val="minor"/>
    </font>
    <font>
      <b/>
      <sz val="10"/>
      <color theme="0"/>
      <name val="Calibri"/>
      <family val="2"/>
      <scheme val="minor"/>
    </font>
    <font>
      <b/>
      <i/>
      <sz val="12"/>
      <color theme="7" tint="-0.499984740745262"/>
      <name val="Calibri"/>
      <family val="2"/>
      <scheme val="minor"/>
    </font>
    <font>
      <b/>
      <i/>
      <sz val="18"/>
      <color theme="7"/>
      <name val="Calibri"/>
      <family val="2"/>
      <scheme val="minor"/>
    </font>
    <font>
      <i/>
      <sz val="12"/>
      <name val="Calibri"/>
      <family val="2"/>
      <scheme val="minor"/>
    </font>
  </fonts>
  <fills count="39">
    <fill>
      <patternFill patternType="none"/>
    </fill>
    <fill>
      <patternFill patternType="gray125"/>
    </fill>
    <fill>
      <patternFill patternType="solid">
        <fgColor rgb="FFFFFF00"/>
        <bgColor indexed="64"/>
      </patternFill>
    </fill>
    <fill>
      <patternFill patternType="solid">
        <fgColor rgb="FFFFEB9C"/>
      </patternFill>
    </fill>
    <fill>
      <patternFill patternType="solid">
        <fgColor theme="3"/>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2"/>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bgColor indexed="64"/>
      </patternFill>
    </fill>
    <fill>
      <patternFill patternType="solid">
        <fgColor rgb="FFFFFFFF"/>
        <bgColor indexed="64"/>
      </patternFill>
    </fill>
    <fill>
      <patternFill patternType="solid">
        <fgColor rgb="FFE8E8E8"/>
        <bgColor indexed="64"/>
      </patternFill>
    </fill>
    <fill>
      <patternFill patternType="solid">
        <fgColor theme="3" tint="-0.49998474074526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009900"/>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theme="6"/>
        <bgColor indexed="64"/>
      </patternFill>
    </fill>
    <fill>
      <patternFill patternType="solid">
        <fgColor theme="8" tint="0.79998168889431442"/>
        <bgColor indexed="64"/>
      </patternFill>
    </fill>
  </fills>
  <borders count="1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2F5496"/>
      </left>
      <right/>
      <top style="medium">
        <color rgb="FF2F5496"/>
      </top>
      <bottom style="medium">
        <color rgb="FF2F5496"/>
      </bottom>
      <diagonal/>
    </border>
    <border>
      <left/>
      <right/>
      <top style="medium">
        <color rgb="FF2F5496"/>
      </top>
      <bottom style="medium">
        <color rgb="FF2F5496"/>
      </bottom>
      <diagonal/>
    </border>
    <border>
      <left/>
      <right style="medium">
        <color rgb="FF2F5496"/>
      </right>
      <top style="medium">
        <color rgb="FF2F5496"/>
      </top>
      <bottom style="medium">
        <color rgb="FF2F5496"/>
      </bottom>
      <diagonal/>
    </border>
    <border>
      <left/>
      <right/>
      <top style="medium">
        <color rgb="FF2F5496"/>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ck">
        <color theme="3"/>
      </top>
      <bottom/>
      <diagonal/>
    </border>
    <border>
      <left style="thin">
        <color indexed="64"/>
      </left>
      <right style="thin">
        <color indexed="64"/>
      </right>
      <top/>
      <bottom style="thin">
        <color indexed="64"/>
      </bottom>
      <diagonal/>
    </border>
    <border>
      <left style="thick">
        <color theme="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theme="8"/>
      </left>
      <right/>
      <top style="thick">
        <color theme="8"/>
      </top>
      <bottom style="thick">
        <color theme="8"/>
      </bottom>
      <diagonal/>
    </border>
    <border>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right/>
      <top style="thin">
        <color theme="0" tint="-0.24994659260841701"/>
      </top>
      <bottom style="thin">
        <color indexed="64"/>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medium">
        <color indexed="64"/>
      </top>
      <bottom style="thin">
        <color theme="0" tint="-0.499984740745262"/>
      </bottom>
      <diagonal/>
    </border>
    <border>
      <left/>
      <right/>
      <top style="thin">
        <color theme="0" tint="-0.499984740745262"/>
      </top>
      <bottom style="medium">
        <color indexed="64"/>
      </bottom>
      <diagonal/>
    </border>
    <border>
      <left/>
      <right/>
      <top style="thin">
        <color indexed="64"/>
      </top>
      <bottom style="thin">
        <color theme="7"/>
      </bottom>
      <diagonal/>
    </border>
    <border>
      <left style="thin">
        <color indexed="64"/>
      </left>
      <right style="thin">
        <color indexed="64"/>
      </right>
      <top style="thin">
        <color indexed="64"/>
      </top>
      <bottom style="thin">
        <color theme="7"/>
      </bottom>
      <diagonal/>
    </border>
    <border>
      <left style="medium">
        <color rgb="FF2F5496"/>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style="thin">
        <color theme="3"/>
      </left>
      <right style="thin">
        <color theme="3"/>
      </right>
      <top style="thin">
        <color theme="3"/>
      </top>
      <bottom/>
      <diagonal/>
    </border>
    <border>
      <left style="thick">
        <color theme="3"/>
      </left>
      <right/>
      <top/>
      <bottom/>
      <diagonal/>
    </border>
    <border>
      <left/>
      <right/>
      <top/>
      <bottom style="medium">
        <color theme="3"/>
      </bottom>
      <diagonal/>
    </border>
    <border>
      <left style="thin">
        <color indexed="64"/>
      </left>
      <right/>
      <top style="medium">
        <color indexed="64"/>
      </top>
      <bottom style="thin">
        <color theme="0" tint="-0.24994659260841701"/>
      </bottom>
      <diagonal/>
    </border>
    <border>
      <left/>
      <right/>
      <top/>
      <bottom style="thin">
        <color theme="3"/>
      </bottom>
      <diagonal/>
    </border>
    <border>
      <left/>
      <right style="thick">
        <color theme="0"/>
      </right>
      <top/>
      <bottom/>
      <diagonal/>
    </border>
    <border>
      <left style="thin">
        <color rgb="FF000000"/>
      </left>
      <right/>
      <top/>
      <bottom style="thin">
        <color rgb="FF000000"/>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hair">
        <color indexed="64"/>
      </bottom>
      <diagonal/>
    </border>
    <border>
      <left/>
      <right/>
      <top style="hair">
        <color auto="1"/>
      </top>
      <bottom/>
      <diagonal/>
    </border>
    <border>
      <left/>
      <right style="thin">
        <color auto="1"/>
      </right>
      <top style="hair">
        <color auto="1"/>
      </top>
      <bottom/>
      <diagonal/>
    </border>
    <border>
      <left/>
      <right style="thin">
        <color auto="1"/>
      </right>
      <top/>
      <bottom style="hair">
        <color auto="1"/>
      </bottom>
      <diagonal/>
    </border>
    <border>
      <left style="thin">
        <color auto="1"/>
      </left>
      <right/>
      <top style="hair">
        <color auto="1"/>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bottom/>
      <diagonal/>
    </border>
    <border>
      <left/>
      <right style="thin">
        <color theme="3"/>
      </right>
      <top/>
      <bottom/>
      <diagonal/>
    </border>
    <border>
      <left style="thin">
        <color indexed="64"/>
      </left>
      <right/>
      <top/>
      <bottom style="hair">
        <color indexed="64"/>
      </bottom>
      <diagonal/>
    </border>
    <border>
      <left/>
      <right/>
      <top style="thin">
        <color theme="0" tint="-0.24994659260841701"/>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0" fontId="10" fillId="0" borderId="0" applyNumberFormat="0" applyFill="0" applyBorder="0" applyAlignment="0" applyProtection="0"/>
    <xf numFmtId="0" fontId="26" fillId="3" borderId="0" applyNumberFormat="0" applyBorder="0" applyAlignment="0" applyProtection="0"/>
  </cellStyleXfs>
  <cellXfs count="1132">
    <xf numFmtId="0" fontId="0" fillId="0" borderId="0" xfId="0"/>
    <xf numFmtId="0" fontId="2" fillId="0" borderId="0" xfId="0" applyFont="1"/>
    <xf numFmtId="0" fontId="3" fillId="0" borderId="0" xfId="0" applyFont="1"/>
    <xf numFmtId="164" fontId="0" fillId="0" borderId="0" xfId="1" applyNumberFormat="1" applyFont="1"/>
    <xf numFmtId="0" fontId="0" fillId="0" borderId="0" xfId="0" applyBorder="1"/>
    <xf numFmtId="0" fontId="0" fillId="0" borderId="0" xfId="0" applyFill="1"/>
    <xf numFmtId="0" fontId="2" fillId="0" borderId="1" xfId="0" applyFont="1" applyBorder="1"/>
    <xf numFmtId="0" fontId="0" fillId="0" borderId="3" xfId="0" applyBorder="1"/>
    <xf numFmtId="0" fontId="0" fillId="0" borderId="0" xfId="0" applyFill="1" applyBorder="1"/>
    <xf numFmtId="0" fontId="0" fillId="0" borderId="0" xfId="0"/>
    <xf numFmtId="0" fontId="0" fillId="2" borderId="0" xfId="0" applyFill="1"/>
    <xf numFmtId="0" fontId="0" fillId="0" borderId="0" xfId="0" applyFont="1"/>
    <xf numFmtId="0" fontId="2" fillId="0" borderId="0" xfId="0" applyFont="1" applyBorder="1"/>
    <xf numFmtId="0" fontId="0" fillId="0" borderId="0" xfId="0" applyAlignment="1">
      <alignment wrapText="1"/>
    </xf>
    <xf numFmtId="0" fontId="9" fillId="0" borderId="0" xfId="0" applyFont="1"/>
    <xf numFmtId="0" fontId="7" fillId="0" borderId="0" xfId="0" applyFont="1" applyAlignment="1">
      <alignment horizontal="left" indent="2"/>
    </xf>
    <xf numFmtId="0" fontId="7" fillId="0" borderId="0" xfId="0" applyFont="1"/>
    <xf numFmtId="0" fontId="7" fillId="0" borderId="0" xfId="0" applyFont="1" applyAlignment="1">
      <alignment horizontal="left"/>
    </xf>
    <xf numFmtId="0" fontId="2" fillId="0" borderId="0" xfId="0" applyFont="1" applyAlignment="1">
      <alignment horizontal="left"/>
    </xf>
    <xf numFmtId="0" fontId="2" fillId="0" borderId="9" xfId="0" applyFont="1" applyBorder="1"/>
    <xf numFmtId="0" fontId="0" fillId="0" borderId="9" xfId="0" applyBorder="1"/>
    <xf numFmtId="0" fontId="0" fillId="0" borderId="9" xfId="0" applyBorder="1" applyAlignment="1">
      <alignment horizontal="right"/>
    </xf>
    <xf numFmtId="0" fontId="0" fillId="0" borderId="0" xfId="0" applyAlignment="1">
      <alignment horizontal="right"/>
    </xf>
    <xf numFmtId="0" fontId="2" fillId="0" borderId="0" xfId="0" applyFont="1" applyBorder="1" applyAlignment="1">
      <alignment horizontal="right"/>
    </xf>
    <xf numFmtId="0" fontId="0" fillId="0" borderId="9" xfId="0" applyBorder="1" applyAlignment="1">
      <alignment horizontal="left"/>
    </xf>
    <xf numFmtId="165" fontId="0" fillId="0" borderId="0" xfId="0" applyNumberFormat="1"/>
    <xf numFmtId="0" fontId="0" fillId="0" borderId="9" xfId="0" applyBorder="1" applyAlignment="1">
      <alignment horizontal="left" vertical="top"/>
    </xf>
    <xf numFmtId="0" fontId="0" fillId="0" borderId="0" xfId="0" applyAlignment="1"/>
    <xf numFmtId="0" fontId="0" fillId="0" borderId="0" xfId="0" applyAlignment="1">
      <alignment horizontal="left" vertical="top"/>
    </xf>
    <xf numFmtId="0" fontId="7" fillId="0" borderId="0" xfId="0" applyFont="1" applyAlignment="1"/>
    <xf numFmtId="0" fontId="2" fillId="0" borderId="0" xfId="0" applyFont="1" applyAlignment="1"/>
    <xf numFmtId="0" fontId="16" fillId="0" borderId="0" xfId="0" applyFont="1" applyAlignment="1">
      <alignment horizontal="left"/>
    </xf>
    <xf numFmtId="0" fontId="0" fillId="2" borderId="0" xfId="0" applyFill="1" applyAlignment="1">
      <alignment horizontal="left"/>
    </xf>
    <xf numFmtId="0" fontId="12" fillId="0" borderId="0" xfId="0" applyFont="1" applyAlignment="1">
      <alignment horizontal="left"/>
    </xf>
    <xf numFmtId="0" fontId="3" fillId="0" borderId="0" xfId="0" applyFont="1" applyAlignment="1">
      <alignment horizontal="left"/>
    </xf>
    <xf numFmtId="0" fontId="0" fillId="0" borderId="0" xfId="0" applyFill="1" applyAlignment="1">
      <alignment horizontal="left"/>
    </xf>
    <xf numFmtId="20" fontId="9" fillId="0" borderId="0" xfId="0" applyNumberFormat="1" applyFont="1" applyAlignment="1">
      <alignment horizontal="left"/>
    </xf>
    <xf numFmtId="0" fontId="2" fillId="0" borderId="1" xfId="0" applyFont="1" applyBorder="1" applyAlignment="1">
      <alignment horizontal="left"/>
    </xf>
    <xf numFmtId="0" fontId="0" fillId="0" borderId="3" xfId="0" applyBorder="1" applyAlignment="1">
      <alignment horizontal="left"/>
    </xf>
    <xf numFmtId="0" fontId="13" fillId="0" borderId="0" xfId="0" applyFont="1" applyAlignment="1">
      <alignment horizontal="left" vertical="center"/>
    </xf>
    <xf numFmtId="0" fontId="0" fillId="0" borderId="5" xfId="0" applyBorder="1" applyAlignment="1">
      <alignment horizontal="left"/>
    </xf>
    <xf numFmtId="0" fontId="0" fillId="0" borderId="0" xfId="0" applyFill="1" applyBorder="1" applyAlignment="1">
      <alignment horizontal="left"/>
    </xf>
    <xf numFmtId="0" fontId="0" fillId="0" borderId="9" xfId="0" applyBorder="1" applyAlignment="1">
      <alignment wrapText="1"/>
    </xf>
    <xf numFmtId="0" fontId="0" fillId="0" borderId="9" xfId="0" applyBorder="1" applyAlignment="1">
      <alignment horizontal="right" vertical="center" wrapText="1"/>
    </xf>
    <xf numFmtId="0" fontId="0" fillId="0" borderId="0" xfId="0" applyAlignment="1">
      <alignment vertical="center"/>
    </xf>
    <xf numFmtId="0" fontId="0" fillId="0" borderId="0" xfId="0" applyAlignment="1">
      <alignment vertical="center" wrapText="1"/>
    </xf>
    <xf numFmtId="0" fontId="22" fillId="0" borderId="0" xfId="0" applyFont="1"/>
    <xf numFmtId="0" fontId="11" fillId="0" borderId="0" xfId="0" applyFont="1"/>
    <xf numFmtId="0" fontId="8" fillId="0" borderId="14" xfId="0" applyFont="1" applyBorder="1" applyAlignment="1">
      <alignment vertical="center"/>
    </xf>
    <xf numFmtId="0" fontId="23" fillId="0" borderId="0" xfId="0" applyFont="1" applyBorder="1"/>
    <xf numFmtId="0" fontId="6" fillId="0" borderId="0" xfId="0" applyFont="1" applyAlignment="1">
      <alignment horizontal="left"/>
    </xf>
    <xf numFmtId="0" fontId="6" fillId="0" borderId="0" xfId="0" applyFont="1" applyAlignment="1">
      <alignment horizontal="right"/>
    </xf>
    <xf numFmtId="0" fontId="17" fillId="0" borderId="0" xfId="0" applyFont="1" applyAlignment="1">
      <alignment horizontal="center" vertical="center"/>
    </xf>
    <xf numFmtId="0" fontId="10" fillId="0" borderId="0" xfId="7" applyAlignment="1"/>
    <xf numFmtId="0" fontId="0" fillId="0" borderId="0" xfId="0" applyBorder="1" applyAlignment="1">
      <alignment horizontal="left" readingOrder="1"/>
    </xf>
    <xf numFmtId="3" fontId="0" fillId="0" borderId="0" xfId="0" applyNumberFormat="1"/>
    <xf numFmtId="164" fontId="25" fillId="0" borderId="0" xfId="1" applyNumberFormat="1" applyFont="1" applyFill="1" applyBorder="1"/>
    <xf numFmtId="0" fontId="27" fillId="4" borderId="18" xfId="0" applyFont="1" applyFill="1" applyBorder="1" applyAlignment="1">
      <alignmen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xf>
    <xf numFmtId="0" fontId="0" fillId="7" borderId="0" xfId="0" applyFill="1" applyAlignment="1">
      <alignment horizontal="center" wrapText="1"/>
    </xf>
    <xf numFmtId="0" fontId="0" fillId="8" borderId="0" xfId="0" applyFill="1"/>
    <xf numFmtId="0" fontId="2" fillId="0" borderId="0" xfId="0" applyFont="1" applyAlignment="1">
      <alignment wrapText="1"/>
    </xf>
    <xf numFmtId="0" fontId="2" fillId="5" borderId="0" xfId="0" applyFont="1" applyFill="1" applyAlignment="1">
      <alignment horizontal="center" wrapText="1"/>
    </xf>
    <xf numFmtId="10" fontId="0" fillId="0" borderId="0" xfId="0" applyNumberFormat="1"/>
    <xf numFmtId="9" fontId="0" fillId="9" borderId="0" xfId="0" applyNumberFormat="1" applyFill="1"/>
    <xf numFmtId="2" fontId="0" fillId="0" borderId="0" xfId="0" applyNumberFormat="1"/>
    <xf numFmtId="10" fontId="0" fillId="9" borderId="0" xfId="0" applyNumberFormat="1" applyFill="1"/>
    <xf numFmtId="0" fontId="2" fillId="10" borderId="0" xfId="0" applyFont="1" applyFill="1"/>
    <xf numFmtId="166" fontId="0" fillId="9" borderId="0" xfId="0" applyNumberFormat="1" applyFill="1"/>
    <xf numFmtId="0" fontId="2" fillId="0" borderId="5" xfId="0" applyFont="1" applyBorder="1" applyAlignment="1"/>
    <xf numFmtId="0" fontId="7" fillId="0" borderId="0" xfId="0" applyFont="1" applyAlignment="1">
      <alignment horizontal="left" vertical="center"/>
    </xf>
    <xf numFmtId="0" fontId="0" fillId="0" borderId="0" xfId="0" applyAlignment="1">
      <alignment horizontal="left" vertical="center"/>
    </xf>
    <xf numFmtId="20" fontId="9" fillId="0" borderId="0" xfId="0" applyNumberFormat="1" applyFont="1"/>
    <xf numFmtId="0" fontId="2" fillId="0" borderId="1" xfId="0" applyFont="1" applyBorder="1" applyAlignment="1"/>
    <xf numFmtId="0" fontId="2" fillId="0" borderId="3" xfId="0" applyFont="1" applyBorder="1" applyAlignment="1"/>
    <xf numFmtId="0" fontId="0" fillId="0" borderId="0" xfId="0" applyBorder="1" applyAlignment="1">
      <alignment horizontal="left" wrapText="1"/>
    </xf>
    <xf numFmtId="0" fontId="2" fillId="0" borderId="0" xfId="0" applyFont="1" applyBorder="1" applyAlignment="1"/>
    <xf numFmtId="0" fontId="2" fillId="0" borderId="0" xfId="0" applyFont="1" applyFill="1" applyBorder="1"/>
    <xf numFmtId="0" fontId="0" fillId="0" borderId="0" xfId="0" applyFill="1" applyBorder="1" applyAlignment="1">
      <alignment horizontal="center"/>
    </xf>
    <xf numFmtId="0" fontId="7" fillId="0" borderId="0" xfId="0" applyFont="1" applyFill="1" applyBorder="1" applyAlignment="1"/>
    <xf numFmtId="0" fontId="2" fillId="0" borderId="9" xfId="0" applyFont="1" applyBorder="1" applyAlignment="1">
      <alignment horizontal="right"/>
    </xf>
    <xf numFmtId="0" fontId="7" fillId="0" borderId="0" xfId="0" applyFont="1" applyBorder="1"/>
    <xf numFmtId="0" fontId="0" fillId="0" borderId="5" xfId="0" applyFont="1" applyBorder="1" applyAlignment="1"/>
    <xf numFmtId="0" fontId="7" fillId="0" borderId="0" xfId="0" applyFont="1" applyFill="1" applyBorder="1" applyAlignment="1">
      <alignment wrapText="1"/>
    </xf>
    <xf numFmtId="0" fontId="26" fillId="3" borderId="0" xfId="8" applyBorder="1" applyAlignment="1">
      <alignment horizontal="left"/>
    </xf>
    <xf numFmtId="0" fontId="7" fillId="0" borderId="0" xfId="0" applyFont="1" applyFill="1" applyBorder="1"/>
    <xf numFmtId="0" fontId="0" fillId="0" borderId="0" xfId="0" applyFill="1" applyBorder="1" applyAlignment="1"/>
    <xf numFmtId="0" fontId="0" fillId="0" borderId="0" xfId="0" applyFont="1" applyAlignment="1">
      <alignment horizontal="left" indent="2"/>
    </xf>
    <xf numFmtId="0" fontId="7" fillId="0" borderId="0" xfId="0" applyFont="1" applyAlignment="1">
      <alignment horizontal="right"/>
    </xf>
    <xf numFmtId="0" fontId="0" fillId="0" borderId="0" xfId="0" applyFill="1" applyBorder="1" applyAlignment="1">
      <alignment horizontal="left" vertical="top"/>
    </xf>
    <xf numFmtId="0" fontId="0" fillId="0" borderId="3" xfId="0" applyBorder="1" applyAlignment="1"/>
    <xf numFmtId="0" fontId="16" fillId="0" borderId="0" xfId="0" applyFont="1" applyAlignment="1">
      <alignment wrapText="1"/>
    </xf>
    <xf numFmtId="0" fontId="31" fillId="0" borderId="0" xfId="0" applyFont="1"/>
    <xf numFmtId="1" fontId="0" fillId="0" borderId="0" xfId="0" applyNumberFormat="1"/>
    <xf numFmtId="9" fontId="0" fillId="0" borderId="0" xfId="2" applyFont="1"/>
    <xf numFmtId="0" fontId="2" fillId="0" borderId="9" xfId="0" applyFont="1" applyBorder="1" applyAlignment="1">
      <alignment horizontal="left" indent="2"/>
    </xf>
    <xf numFmtId="164" fontId="0" fillId="0" borderId="0" xfId="1" applyNumberFormat="1" applyFont="1" applyAlignment="1">
      <alignment horizontal="right"/>
    </xf>
    <xf numFmtId="9" fontId="0" fillId="0" borderId="0" xfId="0" applyNumberFormat="1"/>
    <xf numFmtId="3" fontId="0" fillId="0" borderId="0" xfId="0" applyNumberFormat="1" applyAlignment="1">
      <alignment horizontal="right"/>
    </xf>
    <xf numFmtId="3" fontId="0" fillId="0" borderId="0" xfId="0" applyNumberFormat="1" applyAlignment="1">
      <alignment horizontal="left"/>
    </xf>
    <xf numFmtId="9" fontId="0" fillId="0" borderId="0" xfId="0" applyNumberFormat="1" applyAlignment="1">
      <alignment horizontal="right"/>
    </xf>
    <xf numFmtId="0" fontId="2" fillId="6" borderId="0" xfId="0" applyFont="1" applyFill="1"/>
    <xf numFmtId="0" fontId="0" fillId="6" borderId="0" xfId="0" applyFill="1"/>
    <xf numFmtId="0" fontId="0" fillId="0" borderId="0" xfId="0" applyAlignment="1">
      <alignment horizontal="left" indent="2"/>
    </xf>
    <xf numFmtId="0" fontId="2" fillId="0" borderId="0" xfId="0" applyFont="1" applyAlignment="1">
      <alignment horizontal="left" indent="2"/>
    </xf>
    <xf numFmtId="164" fontId="0" fillId="0" borderId="0" xfId="0" applyNumberFormat="1"/>
    <xf numFmtId="0" fontId="0" fillId="0" borderId="0" xfId="0" applyFont="1" applyFill="1"/>
    <xf numFmtId="0" fontId="2" fillId="0" borderId="0" xfId="0" applyFont="1" applyFill="1" applyAlignment="1">
      <alignment horizontal="left" indent="2"/>
    </xf>
    <xf numFmtId="164" fontId="0" fillId="0" borderId="0" xfId="0" applyNumberFormat="1" applyFill="1"/>
    <xf numFmtId="164" fontId="0" fillId="0" borderId="0" xfId="0" applyNumberFormat="1" applyAlignment="1">
      <alignment horizontal="left" indent="3"/>
    </xf>
    <xf numFmtId="0" fontId="16" fillId="0" borderId="0" xfId="0" applyFont="1"/>
    <xf numFmtId="0" fontId="2" fillId="0" borderId="3" xfId="0" applyFont="1" applyBorder="1" applyAlignment="1">
      <alignment wrapText="1"/>
    </xf>
    <xf numFmtId="0" fontId="2" fillId="0" borderId="3" xfId="0" applyFont="1" applyBorder="1"/>
    <xf numFmtId="0" fontId="7" fillId="0" borderId="0" xfId="0" applyFont="1" applyAlignment="1">
      <alignment vertical="center" wrapText="1"/>
    </xf>
    <xf numFmtId="0" fontId="33" fillId="0" borderId="0" xfId="0" applyFont="1" applyAlignment="1">
      <alignment horizontal="left"/>
    </xf>
    <xf numFmtId="0" fontId="38" fillId="0" borderId="13" xfId="0" applyFont="1" applyFill="1" applyBorder="1"/>
    <xf numFmtId="0" fontId="0" fillId="0" borderId="0" xfId="0" applyAlignment="1">
      <alignment horizontal="center" vertical="center"/>
    </xf>
    <xf numFmtId="0" fontId="27" fillId="0" borderId="0" xfId="0" applyFont="1" applyFill="1"/>
    <xf numFmtId="0" fontId="27" fillId="4" borderId="0" xfId="0" applyFont="1" applyFill="1"/>
    <xf numFmtId="0" fontId="27" fillId="13" borderId="28" xfId="0" applyFont="1" applyFill="1" applyBorder="1"/>
    <xf numFmtId="0" fontId="27" fillId="4" borderId="0" xfId="0" applyFont="1" applyFill="1" applyBorder="1"/>
    <xf numFmtId="0" fontId="43" fillId="4" borderId="0" xfId="0" applyFont="1" applyFill="1" applyBorder="1" applyAlignment="1">
      <alignment vertical="center"/>
    </xf>
    <xf numFmtId="0" fontId="29" fillId="0" borderId="0" xfId="0" applyFont="1" applyFill="1" applyBorder="1"/>
    <xf numFmtId="0" fontId="40" fillId="0" borderId="0" xfId="0" applyFont="1" applyAlignment="1">
      <alignment vertical="center"/>
    </xf>
    <xf numFmtId="0" fontId="47" fillId="12" borderId="31" xfId="0" applyFont="1" applyFill="1" applyBorder="1" applyAlignment="1">
      <alignment horizontal="center" vertical="center"/>
    </xf>
    <xf numFmtId="0" fontId="41" fillId="0" borderId="27" xfId="0" applyFont="1" applyBorder="1"/>
    <xf numFmtId="0" fontId="41" fillId="0" borderId="27" xfId="0" applyFont="1" applyBorder="1" applyAlignment="1">
      <alignment wrapText="1"/>
    </xf>
    <xf numFmtId="0" fontId="41" fillId="0" borderId="32" xfId="0" applyFont="1" applyBorder="1"/>
    <xf numFmtId="0" fontId="41" fillId="0" borderId="33" xfId="0" applyFont="1" applyFill="1" applyBorder="1"/>
    <xf numFmtId="3" fontId="48" fillId="0" borderId="0" xfId="0" applyNumberFormat="1" applyFont="1"/>
    <xf numFmtId="0" fontId="2" fillId="0" borderId="0" xfId="0" applyFont="1" applyBorder="1" applyAlignment="1">
      <alignment wrapText="1"/>
    </xf>
    <xf numFmtId="0" fontId="0" fillId="0" borderId="39" xfId="0" applyBorder="1"/>
    <xf numFmtId="0" fontId="9" fillId="0" borderId="0" xfId="0" applyFont="1" applyBorder="1" applyAlignment="1">
      <alignment horizontal="right"/>
    </xf>
    <xf numFmtId="0" fontId="0" fillId="0" borderId="40" xfId="0" applyBorder="1"/>
    <xf numFmtId="0" fontId="0" fillId="0" borderId="0" xfId="0" applyBorder="1" applyAlignment="1">
      <alignment wrapText="1"/>
    </xf>
    <xf numFmtId="0" fontId="16" fillId="0" borderId="39" xfId="0" applyFont="1" applyBorder="1"/>
    <xf numFmtId="0" fontId="0" fillId="0" borderId="42" xfId="0" applyBorder="1"/>
    <xf numFmtId="0" fontId="0" fillId="0" borderId="16" xfId="0" applyBorder="1"/>
    <xf numFmtId="0" fontId="0" fillId="0" borderId="0" xfId="0" applyFont="1" applyFill="1" applyBorder="1" applyAlignment="1">
      <alignment vertical="center" wrapText="1"/>
    </xf>
    <xf numFmtId="0" fontId="49" fillId="0" borderId="0" xfId="0" applyFont="1"/>
    <xf numFmtId="0" fontId="41" fillId="0" borderId="0" xfId="0" applyFont="1" applyAlignment="1">
      <alignment vertical="top"/>
    </xf>
    <xf numFmtId="0" fontId="40" fillId="0" borderId="0" xfId="0" applyFont="1"/>
    <xf numFmtId="0" fontId="35" fillId="0" borderId="0" xfId="0" applyFont="1" applyBorder="1" applyAlignment="1">
      <alignment vertical="center" wrapText="1"/>
    </xf>
    <xf numFmtId="0" fontId="0" fillId="0" borderId="0" xfId="0" applyFont="1" applyBorder="1" applyAlignment="1">
      <alignment vertical="top" wrapText="1"/>
    </xf>
    <xf numFmtId="0" fontId="0" fillId="0" borderId="0" xfId="0" applyFont="1" applyFill="1" applyBorder="1" applyAlignment="1">
      <alignment horizontal="center" vertical="center" wrapText="1"/>
    </xf>
    <xf numFmtId="0" fontId="41" fillId="0" borderId="40" xfId="0" applyFont="1" applyBorder="1" applyAlignment="1">
      <alignment wrapText="1"/>
    </xf>
    <xf numFmtId="0" fontId="41" fillId="0" borderId="0" xfId="0" applyFont="1" applyBorder="1" applyAlignment="1">
      <alignment wrapText="1"/>
    </xf>
    <xf numFmtId="0" fontId="41" fillId="0" borderId="27" xfId="0" applyFont="1" applyFill="1" applyBorder="1" applyAlignment="1">
      <alignment wrapText="1"/>
    </xf>
    <xf numFmtId="0" fontId="41" fillId="0" borderId="39" xfId="0" applyFont="1" applyBorder="1" applyAlignment="1">
      <alignment wrapText="1"/>
    </xf>
    <xf numFmtId="0" fontId="41" fillId="14" borderId="9" xfId="0" applyFont="1" applyFill="1" applyBorder="1" applyAlignment="1">
      <alignment wrapText="1"/>
    </xf>
    <xf numFmtId="0" fontId="0" fillId="0" borderId="0" xfId="0" applyAlignment="1">
      <alignment vertical="top" wrapText="1"/>
    </xf>
    <xf numFmtId="0" fontId="0" fillId="0" borderId="33" xfId="0" applyBorder="1" applyAlignment="1">
      <alignment horizontal="center" vertical="center"/>
    </xf>
    <xf numFmtId="0" fontId="0" fillId="0" borderId="33" xfId="0" applyFill="1" applyBorder="1" applyAlignment="1">
      <alignment horizontal="center" vertical="center" wrapText="1"/>
    </xf>
    <xf numFmtId="0" fontId="50" fillId="0" borderId="0" xfId="0" applyFont="1" applyAlignment="1">
      <alignment vertical="top"/>
    </xf>
    <xf numFmtId="0" fontId="2" fillId="0" borderId="0" xfId="0" applyFont="1" applyBorder="1" applyAlignment="1">
      <alignment vertical="center"/>
    </xf>
    <xf numFmtId="9" fontId="41" fillId="0" borderId="4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39" xfId="0" applyFont="1" applyFill="1" applyBorder="1" applyAlignment="1">
      <alignment horizontal="center" vertical="center"/>
    </xf>
    <xf numFmtId="0" fontId="39" fillId="11" borderId="29" xfId="0" applyFont="1" applyFill="1" applyBorder="1"/>
    <xf numFmtId="0" fontId="37" fillId="11" borderId="15" xfId="0" applyFont="1" applyFill="1" applyBorder="1"/>
    <xf numFmtId="0" fontId="38" fillId="0" borderId="2" xfId="0" applyFont="1" applyFill="1" applyBorder="1"/>
    <xf numFmtId="0" fontId="32" fillId="4" borderId="17" xfId="0" applyFont="1" applyFill="1" applyBorder="1"/>
    <xf numFmtId="0" fontId="27" fillId="4" borderId="18" xfId="0" applyFont="1" applyFill="1" applyBorder="1"/>
    <xf numFmtId="0" fontId="27" fillId="4" borderId="18" xfId="0" applyFont="1" applyFill="1" applyBorder="1" applyAlignment="1">
      <alignment horizontal="center"/>
    </xf>
    <xf numFmtId="0" fontId="27" fillId="4" borderId="19" xfId="0" applyFont="1" applyFill="1" applyBorder="1"/>
    <xf numFmtId="0" fontId="2" fillId="0" borderId="9" xfId="0" applyFont="1" applyBorder="1" applyAlignment="1">
      <alignment horizontal="center" vertical="center"/>
    </xf>
    <xf numFmtId="3" fontId="0" fillId="0" borderId="0" xfId="0" applyNumberFormat="1" applyAlignment="1">
      <alignment horizontal="center" vertical="center"/>
    </xf>
    <xf numFmtId="9" fontId="0" fillId="0" borderId="9" xfId="2" applyFont="1" applyBorder="1" applyAlignment="1">
      <alignment horizontal="center" vertical="center"/>
    </xf>
    <xf numFmtId="9" fontId="0" fillId="0" borderId="9" xfId="2" applyFont="1" applyFill="1" applyBorder="1" applyAlignment="1">
      <alignment horizontal="center" vertical="center"/>
    </xf>
    <xf numFmtId="1" fontId="0" fillId="0" borderId="9" xfId="2"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166" fontId="0" fillId="0" borderId="9" xfId="0" applyNumberFormat="1" applyFill="1" applyBorder="1" applyAlignment="1">
      <alignment horizontal="center" vertical="center"/>
    </xf>
    <xf numFmtId="3" fontId="0" fillId="0" borderId="9" xfId="0" applyNumberFormat="1" applyBorder="1" applyAlignment="1">
      <alignment horizontal="center" vertical="center"/>
    </xf>
    <xf numFmtId="3" fontId="0" fillId="0" borderId="9" xfId="0" applyNumberFormat="1" applyFill="1" applyBorder="1" applyAlignment="1">
      <alignment horizontal="center" vertical="center"/>
    </xf>
    <xf numFmtId="1" fontId="0" fillId="0" borderId="9" xfId="0" applyNumberFormat="1" applyBorder="1" applyAlignment="1">
      <alignment horizontal="center" vertical="center"/>
    </xf>
    <xf numFmtId="0" fontId="0" fillId="13" borderId="0" xfId="0" applyFill="1"/>
    <xf numFmtId="0" fontId="2" fillId="0" borderId="0" xfId="0" applyFont="1" applyAlignment="1">
      <alignment horizontal="right"/>
    </xf>
    <xf numFmtId="0" fontId="54" fillId="0" borderId="0" xfId="0" applyFont="1" applyAlignment="1">
      <alignment horizontal="right"/>
    </xf>
    <xf numFmtId="0" fontId="2" fillId="8" borderId="0" xfId="0" applyFont="1" applyFill="1"/>
    <xf numFmtId="3" fontId="0" fillId="8" borderId="0" xfId="0" applyNumberFormat="1" applyFill="1" applyAlignment="1">
      <alignment horizontal="center" vertical="center"/>
    </xf>
    <xf numFmtId="0" fontId="7" fillId="0" borderId="0" xfId="0" applyFont="1" applyAlignment="1">
      <alignment vertical="top" wrapText="1"/>
    </xf>
    <xf numFmtId="0" fontId="0" fillId="2" borderId="9" xfId="0" applyFill="1" applyBorder="1" applyAlignment="1" applyProtection="1">
      <alignment horizontal="center" vertical="center"/>
      <protection locked="0"/>
    </xf>
    <xf numFmtId="0" fontId="56" fillId="0" borderId="20" xfId="0" applyFont="1" applyFill="1" applyBorder="1" applyAlignment="1">
      <alignment vertical="center"/>
    </xf>
    <xf numFmtId="0" fontId="57" fillId="18" borderId="0" xfId="0" applyFont="1" applyFill="1" applyAlignment="1">
      <alignment vertical="center" wrapText="1"/>
    </xf>
    <xf numFmtId="0" fontId="57" fillId="19" borderId="0" xfId="0" applyFont="1" applyFill="1" applyAlignment="1">
      <alignment vertical="center" wrapText="1"/>
    </xf>
    <xf numFmtId="0" fontId="57" fillId="19" borderId="0" xfId="0" applyFont="1" applyFill="1" applyAlignment="1">
      <alignment vertical="top" wrapText="1"/>
    </xf>
    <xf numFmtId="0" fontId="57" fillId="18" borderId="0" xfId="0" applyFont="1" applyFill="1" applyAlignment="1">
      <alignment vertical="top" wrapText="1"/>
    </xf>
    <xf numFmtId="0" fontId="58" fillId="18" borderId="0" xfId="0" applyFont="1" applyFill="1" applyAlignment="1">
      <alignment vertical="center"/>
    </xf>
    <xf numFmtId="0" fontId="57" fillId="18" borderId="0" xfId="0" applyFont="1" applyFill="1" applyAlignment="1">
      <alignment vertical="center"/>
    </xf>
    <xf numFmtId="0" fontId="57" fillId="19" borderId="0" xfId="0" applyFont="1" applyFill="1" applyAlignment="1">
      <alignment vertical="center"/>
    </xf>
    <xf numFmtId="0" fontId="57" fillId="19" borderId="0" xfId="0" applyFont="1" applyFill="1" applyAlignment="1">
      <alignment vertical="top"/>
    </xf>
    <xf numFmtId="0" fontId="60" fillId="18" borderId="0" xfId="0" applyFont="1" applyFill="1" applyAlignment="1">
      <alignment vertical="center"/>
    </xf>
    <xf numFmtId="0" fontId="57" fillId="18" borderId="0" xfId="0" applyFont="1" applyFill="1" applyAlignment="1">
      <alignment vertical="top"/>
    </xf>
    <xf numFmtId="0" fontId="0" fillId="0" borderId="0" xfId="0" applyFont="1" applyAlignment="1"/>
    <xf numFmtId="0" fontId="59" fillId="18" borderId="0" xfId="0" applyFont="1" applyFill="1" applyAlignment="1">
      <alignment vertical="center"/>
    </xf>
    <xf numFmtId="0" fontId="33" fillId="0" borderId="0" xfId="0" applyFont="1" applyAlignment="1">
      <alignment vertical="top" wrapText="1"/>
    </xf>
    <xf numFmtId="0" fontId="32" fillId="17" borderId="9" xfId="0" applyFont="1" applyFill="1" applyBorder="1" applyAlignment="1">
      <alignment horizontal="center" vertical="center" wrapText="1"/>
    </xf>
    <xf numFmtId="0" fontId="64" fillId="17" borderId="9" xfId="0" applyFont="1" applyFill="1" applyBorder="1" applyAlignment="1">
      <alignment horizontal="center" vertical="center" wrapText="1"/>
    </xf>
    <xf numFmtId="0" fontId="27" fillId="8" borderId="0" xfId="0" applyFont="1" applyFill="1" applyAlignment="1">
      <alignment vertical="center" wrapText="1"/>
    </xf>
    <xf numFmtId="0" fontId="63" fillId="13" borderId="0" xfId="0" applyFont="1" applyFill="1" applyAlignment="1">
      <alignment vertical="center"/>
    </xf>
    <xf numFmtId="0" fontId="64" fillId="20" borderId="0" xfId="0" applyFont="1" applyFill="1" applyAlignment="1"/>
    <xf numFmtId="0" fontId="63" fillId="14" borderId="0" xfId="0" applyFont="1" applyFill="1" applyAlignment="1"/>
    <xf numFmtId="0" fontId="0" fillId="14" borderId="0" xfId="0" applyFill="1"/>
    <xf numFmtId="0" fontId="24" fillId="20" borderId="0" xfId="0" applyFont="1" applyFill="1" applyAlignment="1"/>
    <xf numFmtId="0" fontId="36" fillId="17" borderId="45" xfId="0" applyFont="1" applyFill="1" applyBorder="1" applyAlignment="1">
      <alignment horizontal="center"/>
    </xf>
    <xf numFmtId="0" fontId="36" fillId="17" borderId="46" xfId="0" applyFont="1" applyFill="1" applyBorder="1" applyAlignment="1">
      <alignment horizontal="center"/>
    </xf>
    <xf numFmtId="0" fontId="0" fillId="11" borderId="9" xfId="0" applyFont="1" applyFill="1" applyBorder="1" applyAlignment="1">
      <alignment horizontal="left" vertical="center"/>
    </xf>
    <xf numFmtId="0" fontId="0" fillId="11" borderId="9" xfId="0" applyFont="1" applyFill="1" applyBorder="1" applyAlignment="1">
      <alignment horizontal="left" vertical="center" wrapText="1"/>
    </xf>
    <xf numFmtId="0" fontId="0" fillId="21" borderId="9" xfId="0" applyFill="1" applyBorder="1" applyAlignment="1">
      <alignment horizontal="left" vertical="top" wrapText="1"/>
    </xf>
    <xf numFmtId="0" fontId="2" fillId="0" borderId="0" xfId="0" applyFont="1" applyAlignment="1">
      <alignment horizontal="center" vertical="center"/>
    </xf>
    <xf numFmtId="0" fontId="7" fillId="0" borderId="0" xfId="0" applyFont="1" applyAlignment="1">
      <alignment horizontal="center" vertical="top" wrapText="1"/>
    </xf>
    <xf numFmtId="9" fontId="0" fillId="17" borderId="13" xfId="2" applyFont="1" applyFill="1" applyBorder="1" applyAlignment="1">
      <alignment horizontal="center" vertical="center"/>
    </xf>
    <xf numFmtId="0" fontId="7" fillId="0" borderId="0" xfId="0" applyFont="1" applyAlignment="1">
      <alignment vertical="top"/>
    </xf>
    <xf numFmtId="0" fontId="2" fillId="16" borderId="38" xfId="0" applyFont="1" applyFill="1" applyBorder="1" applyAlignment="1">
      <alignment wrapText="1"/>
    </xf>
    <xf numFmtId="0" fontId="2" fillId="16" borderId="6" xfId="0" applyFont="1" applyFill="1" applyBorder="1" applyAlignment="1"/>
    <xf numFmtId="0" fontId="0" fillId="0" borderId="40" xfId="0" applyFont="1" applyBorder="1"/>
    <xf numFmtId="0" fontId="0" fillId="0" borderId="39" xfId="0" applyFont="1" applyBorder="1"/>
    <xf numFmtId="0" fontId="0" fillId="21" borderId="9" xfId="0" applyFont="1" applyFill="1" applyBorder="1" applyAlignment="1">
      <alignment horizontal="left" vertical="top" wrapText="1"/>
    </xf>
    <xf numFmtId="0" fontId="68" fillId="0" borderId="0" xfId="0" applyFont="1"/>
    <xf numFmtId="0" fontId="0" fillId="0" borderId="4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wrapText="1"/>
    </xf>
    <xf numFmtId="0" fontId="0" fillId="0" borderId="39" xfId="0" applyFont="1" applyBorder="1" applyAlignment="1">
      <alignment wrapText="1"/>
    </xf>
    <xf numFmtId="0" fontId="0" fillId="0" borderId="51" xfId="0" applyFont="1" applyFill="1" applyBorder="1" applyAlignment="1">
      <alignment horizontal="center"/>
    </xf>
    <xf numFmtId="0" fontId="0" fillId="0" borderId="0" xfId="0" applyFont="1" applyBorder="1" applyAlignment="1">
      <alignment horizontal="left"/>
    </xf>
    <xf numFmtId="0" fontId="9" fillId="0" borderId="0" xfId="0" applyFont="1" applyAlignment="1">
      <alignment wrapText="1"/>
    </xf>
    <xf numFmtId="0" fontId="15" fillId="0" borderId="0" xfId="0" applyFont="1" applyAlignment="1">
      <alignment wrapText="1"/>
    </xf>
    <xf numFmtId="0" fontId="0" fillId="0" borderId="0" xfId="0" applyAlignment="1">
      <alignment horizontal="left" vertical="center" wrapText="1"/>
    </xf>
    <xf numFmtId="0" fontId="0" fillId="2" borderId="0" xfId="0" applyFill="1" applyAlignment="1">
      <alignment horizontal="left" vertical="center" wrapText="1"/>
    </xf>
    <xf numFmtId="0" fontId="0" fillId="0" borderId="0" xfId="0" applyFont="1" applyFill="1" applyAlignment="1">
      <alignment horizontal="left" vertical="center"/>
    </xf>
    <xf numFmtId="0" fontId="15" fillId="0" borderId="9" xfId="0" applyFont="1" applyBorder="1" applyAlignment="1">
      <alignment horizontal="left" vertical="center"/>
    </xf>
    <xf numFmtId="0" fontId="0" fillId="0" borderId="0" xfId="0" applyFill="1" applyAlignment="1">
      <alignment horizontal="left" vertical="center"/>
    </xf>
    <xf numFmtId="0" fontId="2" fillId="0" borderId="0" xfId="0" applyFont="1" applyBorder="1" applyAlignment="1">
      <alignment horizontal="center" vertical="center" wrapText="1"/>
    </xf>
    <xf numFmtId="3" fontId="0" fillId="0" borderId="0" xfId="0" applyNumberFormat="1" applyBorder="1"/>
    <xf numFmtId="0" fontId="16" fillId="2" borderId="0" xfId="0" applyFont="1" applyFill="1" applyAlignment="1">
      <alignment wrapText="1"/>
    </xf>
    <xf numFmtId="0" fontId="0" fillId="11" borderId="29" xfId="0" applyFill="1" applyBorder="1"/>
    <xf numFmtId="0" fontId="0" fillId="11" borderId="30" xfId="0" applyFill="1" applyBorder="1"/>
    <xf numFmtId="170" fontId="0" fillId="0" borderId="0" xfId="0" applyNumberFormat="1" applyAlignment="1">
      <alignment horizontal="left"/>
    </xf>
    <xf numFmtId="170" fontId="0" fillId="0" borderId="0" xfId="0" applyNumberFormat="1" applyAlignment="1">
      <alignment horizontal="left" vertical="center"/>
    </xf>
    <xf numFmtId="0" fontId="2" fillId="0" borderId="55" xfId="0" applyFont="1" applyFill="1" applyBorder="1" applyAlignment="1">
      <alignment horizontal="center" wrapText="1"/>
    </xf>
    <xf numFmtId="0" fontId="0" fillId="13" borderId="28" xfId="0" applyFill="1" applyBorder="1"/>
    <xf numFmtId="0" fontId="42" fillId="4" borderId="0" xfId="0" applyFont="1" applyFill="1" applyAlignment="1">
      <alignment horizontal="left" indent="1"/>
    </xf>
    <xf numFmtId="0" fontId="32" fillId="4" borderId="0" xfId="0" applyFont="1" applyFill="1" applyAlignment="1">
      <alignment horizontal="left" vertical="top" indent="1"/>
    </xf>
    <xf numFmtId="0" fontId="2" fillId="0" borderId="9" xfId="0" applyFont="1" applyBorder="1" applyAlignment="1">
      <alignment horizontal="left" vertical="center" wrapText="1"/>
    </xf>
    <xf numFmtId="0" fontId="12" fillId="0" borderId="9" xfId="0" applyFont="1" applyBorder="1" applyAlignment="1">
      <alignment wrapText="1"/>
    </xf>
    <xf numFmtId="0" fontId="12" fillId="0" borderId="9" xfId="0" applyFont="1" applyBorder="1" applyAlignment="1"/>
    <xf numFmtId="0" fontId="10" fillId="0" borderId="9" xfId="7" applyBorder="1" applyAlignment="1">
      <alignment wrapText="1"/>
    </xf>
    <xf numFmtId="0" fontId="8" fillId="0" borderId="9" xfId="0" applyFont="1" applyBorder="1" applyAlignment="1">
      <alignment vertical="center"/>
    </xf>
    <xf numFmtId="0" fontId="62" fillId="0" borderId="9" xfId="0" applyFont="1" applyBorder="1"/>
    <xf numFmtId="0" fontId="16" fillId="0" borderId="9" xfId="0" applyFont="1" applyBorder="1" applyAlignment="1">
      <alignment vertical="center"/>
    </xf>
    <xf numFmtId="0" fontId="16" fillId="0" borderId="9" xfId="0" applyFont="1" applyBorder="1" applyAlignment="1">
      <alignment vertical="center" wrapText="1"/>
    </xf>
    <xf numFmtId="0" fontId="18" fillId="0" borderId="9" xfId="0" applyFont="1" applyBorder="1" applyAlignment="1">
      <alignment vertical="center"/>
    </xf>
    <xf numFmtId="0" fontId="71" fillId="0" borderId="9" xfId="0" applyFont="1" applyBorder="1" applyAlignment="1">
      <alignment wrapText="1"/>
    </xf>
    <xf numFmtId="0" fontId="0" fillId="0" borderId="9" xfId="0" applyBorder="1" applyAlignment="1"/>
    <xf numFmtId="0" fontId="61" fillId="0" borderId="9" xfId="0" applyFont="1" applyBorder="1" applyAlignment="1">
      <alignment wrapText="1"/>
    </xf>
    <xf numFmtId="0" fontId="0" fillId="0" borderId="9" xfId="0" applyFont="1" applyBorder="1" applyAlignment="1">
      <alignment wrapText="1"/>
    </xf>
    <xf numFmtId="0" fontId="0" fillId="0" borderId="9" xfId="0" applyFont="1" applyBorder="1" applyAlignment="1"/>
    <xf numFmtId="0" fontId="0" fillId="9" borderId="0" xfId="0" applyFill="1" applyBorder="1"/>
    <xf numFmtId="0" fontId="2" fillId="11" borderId="12" xfId="0" applyFont="1" applyFill="1" applyBorder="1"/>
    <xf numFmtId="0" fontId="2" fillId="11" borderId="12" xfId="0" applyFont="1" applyFill="1" applyBorder="1" applyAlignment="1">
      <alignment horizontal="center" vertical="center"/>
    </xf>
    <xf numFmtId="0" fontId="0" fillId="0" borderId="56" xfId="0" applyFill="1" applyBorder="1"/>
    <xf numFmtId="0" fontId="10" fillId="0" borderId="9" xfId="7" applyBorder="1"/>
    <xf numFmtId="0" fontId="44" fillId="0" borderId="0" xfId="0" applyFont="1" applyFill="1" applyBorder="1" applyAlignment="1">
      <alignment vertical="center"/>
    </xf>
    <xf numFmtId="0" fontId="49" fillId="0" borderId="0" xfId="0" applyFont="1" applyFill="1" applyBorder="1" applyAlignment="1">
      <alignment horizontal="left" vertical="top" wrapText="1"/>
    </xf>
    <xf numFmtId="0" fontId="7" fillId="0" borderId="0" xfId="0" applyFont="1" applyBorder="1" applyAlignment="1">
      <alignment horizontal="center" vertical="center" wrapText="1"/>
    </xf>
    <xf numFmtId="0" fontId="2" fillId="0" borderId="13" xfId="0" applyFont="1" applyBorder="1" applyAlignment="1">
      <alignment horizontal="center" vertical="center"/>
    </xf>
    <xf numFmtId="0" fontId="0" fillId="0" borderId="25" xfId="0" applyFill="1" applyBorder="1" applyAlignment="1">
      <alignment horizontal="left" vertical="center" wrapText="1"/>
    </xf>
    <xf numFmtId="0" fontId="0" fillId="0" borderId="0" xfId="0" applyNumberFormat="1" applyFill="1" applyAlignment="1">
      <alignment wrapText="1"/>
    </xf>
    <xf numFmtId="0" fontId="0" fillId="0" borderId="23" xfId="0" applyFill="1" applyBorder="1" applyAlignment="1">
      <alignment horizontal="left" vertical="center"/>
    </xf>
    <xf numFmtId="0" fontId="0" fillId="0" borderId="23" xfId="0" applyFont="1" applyFill="1" applyBorder="1"/>
    <xf numFmtId="0" fontId="0" fillId="13" borderId="0" xfId="0" applyFill="1" applyAlignment="1">
      <alignment horizontal="center" wrapText="1"/>
    </xf>
    <xf numFmtId="0" fontId="0" fillId="23" borderId="60" xfId="0" applyFill="1" applyBorder="1"/>
    <xf numFmtId="0" fontId="0" fillId="0" borderId="61" xfId="0" applyFill="1" applyBorder="1"/>
    <xf numFmtId="0" fontId="0" fillId="13" borderId="61" xfId="0" applyFill="1" applyBorder="1"/>
    <xf numFmtId="0" fontId="0" fillId="0" borderId="9" xfId="0" applyBorder="1" applyAlignment="1">
      <alignment horizontal="center"/>
    </xf>
    <xf numFmtId="0" fontId="0" fillId="7" borderId="9" xfId="0" applyFill="1" applyBorder="1" applyAlignment="1">
      <alignment horizontal="center" wrapText="1"/>
    </xf>
    <xf numFmtId="0" fontId="0" fillId="2" borderId="9" xfId="0" applyFont="1" applyFill="1" applyBorder="1"/>
    <xf numFmtId="0" fontId="0" fillId="0" borderId="9" xfId="0" applyFont="1" applyBorder="1"/>
    <xf numFmtId="0" fontId="0" fillId="0" borderId="9" xfId="0" applyFont="1" applyFill="1" applyBorder="1"/>
    <xf numFmtId="0" fontId="5" fillId="0" borderId="0" xfId="0" applyFont="1" applyFill="1" applyBorder="1"/>
    <xf numFmtId="0" fontId="5" fillId="0" borderId="0" xfId="0" applyFont="1" applyFill="1" applyBorder="1" applyAlignment="1">
      <alignment horizontal="center"/>
    </xf>
    <xf numFmtId="0" fontId="9" fillId="0" borderId="0" xfId="0" applyFont="1" applyFill="1" applyBorder="1" applyAlignment="1">
      <alignment horizontal="left"/>
    </xf>
    <xf numFmtId="0" fontId="5" fillId="0" borderId="0" xfId="0" applyFont="1" applyFill="1" applyBorder="1" applyAlignment="1">
      <alignment horizontal="center" wrapText="1"/>
    </xf>
    <xf numFmtId="0" fontId="5" fillId="5" borderId="0" xfId="0" applyFont="1" applyFill="1" applyBorder="1" applyAlignment="1">
      <alignment horizontal="center"/>
    </xf>
    <xf numFmtId="0" fontId="5" fillId="5" borderId="0" xfId="0" applyFont="1" applyFill="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165" fontId="5" fillId="5" borderId="0" xfId="0" applyNumberFormat="1" applyFont="1" applyFill="1" applyAlignment="1">
      <alignment horizontal="center"/>
    </xf>
    <xf numFmtId="0" fontId="72" fillId="25" borderId="0" xfId="0" applyFont="1" applyFill="1" applyBorder="1" applyAlignment="1">
      <alignment horizontal="center" wrapText="1"/>
    </xf>
    <xf numFmtId="0" fontId="72" fillId="26" borderId="0" xfId="0" applyFont="1" applyFill="1" applyBorder="1" applyAlignment="1">
      <alignment horizontal="center" wrapText="1"/>
    </xf>
    <xf numFmtId="165" fontId="72" fillId="27" borderId="0" xfId="0" applyNumberFormat="1" applyFont="1" applyFill="1" applyBorder="1" applyAlignment="1">
      <alignment horizontal="center" wrapText="1"/>
    </xf>
    <xf numFmtId="165" fontId="72" fillId="6" borderId="0" xfId="0" applyNumberFormat="1" applyFont="1" applyFill="1" applyBorder="1" applyAlignment="1">
      <alignment horizontal="center" wrapText="1"/>
    </xf>
    <xf numFmtId="0" fontId="72" fillId="0" borderId="0" xfId="0" applyFont="1" applyAlignment="1">
      <alignment horizontal="center" wrapText="1"/>
    </xf>
    <xf numFmtId="0" fontId="72" fillId="6" borderId="0" xfId="0" applyFont="1" applyFill="1" applyAlignment="1">
      <alignment horizontal="center" wrapText="1"/>
    </xf>
    <xf numFmtId="165" fontId="5" fillId="24" borderId="0" xfId="0" applyNumberFormat="1" applyFont="1" applyFill="1" applyAlignment="1">
      <alignment horizontal="center"/>
    </xf>
    <xf numFmtId="165" fontId="5" fillId="24" borderId="0" xfId="0" applyNumberFormat="1" applyFont="1" applyFill="1" applyAlignment="1">
      <alignment horizontal="center" wrapText="1"/>
    </xf>
    <xf numFmtId="165" fontId="5" fillId="24" borderId="0" xfId="0" applyNumberFormat="1" applyFont="1" applyFill="1" applyBorder="1" applyAlignment="1">
      <alignment horizontal="center" wrapText="1"/>
    </xf>
    <xf numFmtId="165" fontId="5" fillId="24" borderId="0" xfId="0" applyNumberFormat="1" applyFont="1" applyFill="1" applyBorder="1" applyAlignment="1">
      <alignment horizontal="center"/>
    </xf>
    <xf numFmtId="165" fontId="5" fillId="6" borderId="0" xfId="0" applyNumberFormat="1" applyFont="1" applyFill="1" applyBorder="1" applyAlignment="1">
      <alignment horizontal="center" wrapText="1"/>
    </xf>
    <xf numFmtId="165" fontId="5" fillId="6" borderId="0" xfId="0" applyNumberFormat="1" applyFont="1" applyFill="1" applyAlignment="1">
      <alignment horizontal="center"/>
    </xf>
    <xf numFmtId="165" fontId="5" fillId="0" borderId="0" xfId="0" applyNumberFormat="1" applyFont="1" applyBorder="1" applyAlignment="1">
      <alignment horizontal="center"/>
    </xf>
    <xf numFmtId="0" fontId="41" fillId="0" borderId="0" xfId="0" applyFont="1" applyBorder="1"/>
    <xf numFmtId="165" fontId="48" fillId="24" borderId="0" xfId="0" applyNumberFormat="1" applyFont="1" applyFill="1" applyAlignment="1">
      <alignment horizontal="center"/>
    </xf>
    <xf numFmtId="165" fontId="5" fillId="0" borderId="0" xfId="0" applyNumberFormat="1" applyFont="1" applyFill="1" applyAlignment="1">
      <alignment horizontal="center"/>
    </xf>
    <xf numFmtId="0" fontId="5" fillId="6" borderId="0" xfId="0" applyFont="1" applyFill="1" applyBorder="1" applyAlignment="1">
      <alignment horizontal="center"/>
    </xf>
    <xf numFmtId="0" fontId="5" fillId="6" borderId="0" xfId="0" applyFont="1" applyFill="1" applyAlignment="1">
      <alignment horizontal="center"/>
    </xf>
    <xf numFmtId="0" fontId="5" fillId="5" borderId="0" xfId="0" applyFont="1" applyFill="1" applyBorder="1" applyAlignment="1">
      <alignment horizontal="center" wrapText="1"/>
    </xf>
    <xf numFmtId="0" fontId="5" fillId="6" borderId="0" xfId="0" applyFont="1" applyFill="1" applyBorder="1" applyAlignment="1">
      <alignment horizontal="center" wrapText="1"/>
    </xf>
    <xf numFmtId="0" fontId="74" fillId="0" borderId="0" xfId="0" applyFont="1" applyFill="1" applyBorder="1"/>
    <xf numFmtId="0" fontId="2" fillId="0" borderId="0" xfId="0" applyFont="1" applyFill="1" applyBorder="1" applyAlignment="1">
      <alignment horizontal="center" wrapText="1"/>
    </xf>
    <xf numFmtId="0" fontId="0" fillId="0" borderId="0" xfId="0" applyFont="1" applyFill="1" applyBorder="1" applyAlignment="1">
      <alignment horizontal="center" wrapText="1"/>
    </xf>
    <xf numFmtId="0" fontId="5" fillId="0" borderId="3" xfId="0" applyFont="1" applyFill="1" applyBorder="1" applyAlignment="1">
      <alignment horizontal="left"/>
    </xf>
    <xf numFmtId="0" fontId="2" fillId="0" borderId="9" xfId="0" applyFont="1" applyBorder="1" applyAlignment="1">
      <alignment horizontal="center" vertical="center" wrapText="1"/>
    </xf>
    <xf numFmtId="0" fontId="0" fillId="0" borderId="0" xfId="0" applyBorder="1" applyAlignment="1">
      <alignment horizontal="center" vertical="center" wrapText="1"/>
    </xf>
    <xf numFmtId="169" fontId="2" fillId="2" borderId="0" xfId="1"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vertical="center" wrapText="1"/>
      <protection locked="0"/>
    </xf>
    <xf numFmtId="0" fontId="0" fillId="0" borderId="9" xfId="0" applyBorder="1" applyAlignment="1">
      <alignment horizontal="right" vertical="center"/>
    </xf>
    <xf numFmtId="0" fontId="77" fillId="0" borderId="0" xfId="0" applyFont="1" applyFill="1" applyAlignment="1">
      <alignment horizontal="left" vertical="center"/>
    </xf>
    <xf numFmtId="0" fontId="34" fillId="0" borderId="0" xfId="0" applyFont="1" applyFill="1" applyAlignment="1">
      <alignment horizontal="left" vertical="center"/>
    </xf>
    <xf numFmtId="0" fontId="77" fillId="0" borderId="0" xfId="0" applyFont="1" applyFill="1" applyBorder="1" applyAlignment="1">
      <alignment horizontal="left" vertical="center"/>
    </xf>
    <xf numFmtId="0" fontId="24" fillId="4" borderId="0" xfId="0" applyFont="1" applyFill="1" applyAlignment="1">
      <alignment vertical="center"/>
    </xf>
    <xf numFmtId="0" fontId="45" fillId="4" borderId="0" xfId="0" applyFont="1" applyFill="1" applyBorder="1" applyAlignment="1">
      <alignment vertical="center"/>
    </xf>
    <xf numFmtId="0" fontId="45" fillId="4" borderId="0" xfId="0" applyFont="1" applyFill="1" applyAlignment="1">
      <alignment vertical="center"/>
    </xf>
    <xf numFmtId="0" fontId="46" fillId="15" borderId="0" xfId="0" applyFont="1" applyFill="1" applyBorder="1" applyAlignment="1">
      <alignment horizontal="center"/>
    </xf>
    <xf numFmtId="0" fontId="2" fillId="11" borderId="0" xfId="0" applyFont="1" applyFill="1" applyBorder="1" applyAlignment="1">
      <alignment horizontal="right"/>
    </xf>
    <xf numFmtId="3" fontId="0" fillId="0" borderId="0" xfId="0" applyNumberFormat="1" applyFill="1" applyBorder="1"/>
    <xf numFmtId="0" fontId="7" fillId="9" borderId="0" xfId="0" applyFont="1" applyFill="1" applyBorder="1" applyAlignment="1">
      <alignment horizontal="center" vertical="top" wrapText="1"/>
    </xf>
    <xf numFmtId="0" fontId="2" fillId="11" borderId="0" xfId="0" applyFont="1" applyFill="1" applyBorder="1"/>
    <xf numFmtId="0" fontId="0" fillId="21" borderId="0" xfId="0" applyFont="1" applyFill="1" applyBorder="1" applyAlignment="1">
      <alignment horizontal="left" vertical="top" wrapText="1"/>
    </xf>
    <xf numFmtId="0" fontId="0" fillId="0" borderId="0" xfId="0" applyFont="1" applyFill="1" applyBorder="1" applyAlignment="1">
      <alignment horizontal="center"/>
    </xf>
    <xf numFmtId="0" fontId="63" fillId="0" borderId="0" xfId="0" applyFont="1" applyFill="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166" fontId="31" fillId="0" borderId="0" xfId="2" applyNumberFormat="1" applyFont="1" applyBorder="1"/>
    <xf numFmtId="0" fontId="0" fillId="0" borderId="0" xfId="0" applyFont="1" applyBorder="1"/>
    <xf numFmtId="0" fontId="24" fillId="0" borderId="0" xfId="0" applyFont="1" applyFill="1" applyAlignment="1">
      <alignment vertical="center" wrapText="1"/>
    </xf>
    <xf numFmtId="0" fontId="52" fillId="0" borderId="0" xfId="0" applyFont="1" applyAlignment="1"/>
    <xf numFmtId="0" fontId="2" fillId="0" borderId="9" xfId="0" applyFont="1" applyBorder="1" applyAlignment="1">
      <alignment horizontal="center" wrapText="1"/>
    </xf>
    <xf numFmtId="0" fontId="12" fillId="0" borderId="9" xfId="0" applyFont="1" applyFill="1" applyBorder="1" applyAlignment="1">
      <alignment horizontal="center" vertical="center"/>
    </xf>
    <xf numFmtId="0" fontId="68" fillId="0" borderId="0" xfId="0" applyFont="1" applyAlignment="1">
      <alignment horizontal="center" vertical="center" wrapText="1"/>
    </xf>
    <xf numFmtId="0" fontId="0" fillId="11" borderId="0" xfId="0" applyFont="1" applyFill="1" applyBorder="1" applyAlignment="1">
      <alignment horizontal="left" vertical="center"/>
    </xf>
    <xf numFmtId="0" fontId="45" fillId="0" borderId="0" xfId="0" applyFont="1" applyFill="1"/>
    <xf numFmtId="0" fontId="79" fillId="5" borderId="0" xfId="0" applyFont="1" applyFill="1"/>
    <xf numFmtId="0" fontId="73" fillId="0" borderId="0" xfId="0" applyFont="1" applyFill="1" applyBorder="1"/>
    <xf numFmtId="0" fontId="0" fillId="0" borderId="3" xfId="0" applyFill="1" applyBorder="1" applyAlignment="1">
      <alignment horizontal="left"/>
    </xf>
    <xf numFmtId="0" fontId="0" fillId="0" borderId="0" xfId="0" applyFill="1" applyAlignment="1">
      <alignment horizontal="center"/>
    </xf>
    <xf numFmtId="0" fontId="72" fillId="12" borderId="0" xfId="0" applyFont="1" applyFill="1" applyBorder="1" applyAlignment="1">
      <alignment wrapText="1"/>
    </xf>
    <xf numFmtId="0" fontId="72" fillId="12" borderId="3" xfId="0" applyFont="1" applyFill="1" applyBorder="1" applyAlignment="1">
      <alignment horizontal="left" wrapText="1"/>
    </xf>
    <xf numFmtId="0" fontId="72" fillId="12" borderId="0" xfId="0" applyFont="1" applyFill="1" applyBorder="1" applyAlignment="1">
      <alignment horizontal="center" wrapText="1"/>
    </xf>
    <xf numFmtId="0" fontId="2" fillId="28" borderId="0" xfId="0" applyFont="1" applyFill="1"/>
    <xf numFmtId="0" fontId="0" fillId="0" borderId="8" xfId="0" applyBorder="1" applyAlignment="1">
      <alignment vertical="center"/>
    </xf>
    <xf numFmtId="0" fontId="2" fillId="14" borderId="0" xfId="0" applyFont="1" applyFill="1"/>
    <xf numFmtId="0" fontId="0" fillId="14" borderId="0" xfId="0" applyFill="1" applyAlignment="1">
      <alignment horizontal="left" indent="2"/>
    </xf>
    <xf numFmtId="164" fontId="0" fillId="14" borderId="0" xfId="0" applyNumberFormat="1" applyFill="1"/>
    <xf numFmtId="0" fontId="0" fillId="14" borderId="3" xfId="0" applyFill="1" applyBorder="1" applyAlignment="1"/>
    <xf numFmtId="0" fontId="2" fillId="14" borderId="0" xfId="0" applyFont="1" applyFill="1" applyAlignment="1">
      <alignment horizontal="left" indent="2"/>
    </xf>
    <xf numFmtId="0" fontId="0" fillId="0" borderId="9" xfId="0" applyBorder="1" applyAlignment="1">
      <alignment horizontal="center" vertical="center" wrapText="1"/>
    </xf>
    <xf numFmtId="0" fontId="0" fillId="0" borderId="0" xfId="0" applyAlignment="1">
      <alignment horizontal="left"/>
    </xf>
    <xf numFmtId="0" fontId="63" fillId="4" borderId="17" xfId="0" applyFont="1" applyFill="1" applyBorder="1" applyAlignment="1">
      <alignment vertical="center"/>
    </xf>
    <xf numFmtId="0" fontId="28" fillId="4" borderId="18" xfId="0" applyFont="1" applyFill="1" applyBorder="1" applyAlignment="1">
      <alignment vertical="center" wrapText="1"/>
    </xf>
    <xf numFmtId="0" fontId="28" fillId="4" borderId="19" xfId="0" applyFont="1" applyFill="1" applyBorder="1" applyAlignment="1">
      <alignment vertical="center" wrapText="1"/>
    </xf>
    <xf numFmtId="0" fontId="83" fillId="0" borderId="0" xfId="0" applyFont="1" applyAlignment="1">
      <alignment horizontal="left"/>
    </xf>
    <xf numFmtId="0" fontId="0" fillId="14" borderId="23" xfId="0" applyFill="1" applyBorder="1" applyAlignment="1">
      <alignment horizontal="left" vertical="center"/>
    </xf>
    <xf numFmtId="165" fontId="0" fillId="2" borderId="9" xfId="0" applyNumberFormat="1" applyFill="1" applyBorder="1" applyAlignment="1">
      <alignment horizontal="center" vertical="center"/>
    </xf>
    <xf numFmtId="0" fontId="0" fillId="2" borderId="9" xfId="0" applyFill="1" applyBorder="1" applyAlignment="1">
      <alignment horizontal="center" vertical="center"/>
    </xf>
    <xf numFmtId="0" fontId="25" fillId="11" borderId="0" xfId="0" applyFont="1" applyFill="1" applyBorder="1" applyAlignment="1">
      <alignment vertical="center"/>
    </xf>
    <xf numFmtId="0" fontId="25" fillId="11" borderId="0" xfId="0" applyFont="1" applyFill="1" applyBorder="1" applyAlignment="1"/>
    <xf numFmtId="3" fontId="0" fillId="29" borderId="9" xfId="1" applyNumberFormat="1" applyFont="1" applyFill="1" applyBorder="1" applyAlignment="1" applyProtection="1">
      <alignment horizontal="center" vertical="center"/>
      <protection locked="0"/>
    </xf>
    <xf numFmtId="166" fontId="0" fillId="29" borderId="9" xfId="2" applyNumberFormat="1" applyFont="1" applyFill="1" applyBorder="1" applyAlignment="1" applyProtection="1">
      <alignment vertical="center"/>
      <protection locked="0"/>
    </xf>
    <xf numFmtId="3" fontId="0" fillId="0" borderId="9" xfId="1" applyNumberFormat="1" applyFont="1" applyFill="1" applyBorder="1" applyAlignment="1" applyProtection="1">
      <alignment horizontal="center" vertical="center"/>
      <protection locked="0"/>
    </xf>
    <xf numFmtId="3" fontId="0" fillId="0" borderId="9" xfId="0" applyNumberFormat="1" applyBorder="1"/>
    <xf numFmtId="166" fontId="0" fillId="0" borderId="9" xfId="2" applyNumberFormat="1" applyFont="1" applyBorder="1"/>
    <xf numFmtId="0" fontId="2" fillId="0" borderId="0" xfId="0" applyFont="1" applyFill="1"/>
    <xf numFmtId="3" fontId="0" fillId="0" borderId="0" xfId="0" applyNumberFormat="1" applyFill="1" applyAlignment="1">
      <alignment horizontal="center"/>
    </xf>
    <xf numFmtId="9" fontId="2" fillId="0" borderId="9" xfId="2" applyFont="1" applyBorder="1" applyAlignment="1">
      <alignment horizontal="center"/>
    </xf>
    <xf numFmtId="3" fontId="0" fillId="11" borderId="9" xfId="1" applyNumberFormat="1" applyFont="1" applyFill="1" applyBorder="1" applyProtection="1">
      <protection locked="0"/>
    </xf>
    <xf numFmtId="0" fontId="0" fillId="11" borderId="9" xfId="0" applyFill="1" applyBorder="1" applyProtection="1">
      <protection locked="0"/>
    </xf>
    <xf numFmtId="0" fontId="36" fillId="17" borderId="9" xfId="0" applyFont="1" applyFill="1" applyBorder="1"/>
    <xf numFmtId="9" fontId="0" fillId="11" borderId="9" xfId="2" applyFont="1" applyFill="1" applyBorder="1" applyAlignment="1" applyProtection="1">
      <alignment horizontal="center"/>
      <protection locked="0"/>
    </xf>
    <xf numFmtId="0" fontId="49" fillId="0" borderId="0" xfId="0" applyFont="1" applyFill="1" applyBorder="1" applyAlignment="1">
      <alignment horizontal="left" vertical="top" wrapText="1"/>
    </xf>
    <xf numFmtId="0" fontId="31" fillId="0" borderId="0" xfId="0" applyFont="1" applyAlignment="1">
      <alignment horizontal="left" vertical="center"/>
    </xf>
    <xf numFmtId="0" fontId="55" fillId="14" borderId="9" xfId="0" applyFont="1" applyFill="1" applyBorder="1" applyAlignment="1">
      <alignment horizontal="center" vertical="center"/>
    </xf>
    <xf numFmtId="0" fontId="56" fillId="0" borderId="0" xfId="0" applyFont="1" applyFill="1" applyBorder="1" applyAlignment="1">
      <alignment vertical="center"/>
    </xf>
    <xf numFmtId="0" fontId="84" fillId="17" borderId="0" xfId="0" applyFont="1" applyFill="1" applyBorder="1" applyAlignment="1">
      <alignment vertical="center"/>
    </xf>
    <xf numFmtId="0" fontId="27" fillId="17" borderId="0" xfId="0" applyFont="1" applyFill="1" applyBorder="1" applyAlignment="1">
      <alignment vertical="center"/>
    </xf>
    <xf numFmtId="0" fontId="28" fillId="17" borderId="0" xfId="0" applyFont="1" applyFill="1" applyBorder="1" applyAlignment="1">
      <alignment vertical="center" wrapText="1"/>
    </xf>
    <xf numFmtId="166" fontId="0" fillId="0" borderId="36" xfId="0" applyNumberFormat="1" applyFill="1" applyBorder="1" applyAlignment="1">
      <alignment horizontal="center" vertical="center"/>
    </xf>
    <xf numFmtId="0" fontId="16" fillId="0" borderId="0" xfId="0" applyFont="1" applyFill="1"/>
    <xf numFmtId="0" fontId="15" fillId="11" borderId="0" xfId="0" applyFont="1" applyFill="1"/>
    <xf numFmtId="0" fontId="85" fillId="11" borderId="0" xfId="0" applyFont="1" applyFill="1"/>
    <xf numFmtId="0" fontId="86" fillId="11" borderId="0" xfId="0" applyFont="1" applyFill="1" applyAlignment="1">
      <alignment horizontal="left" indent="1"/>
    </xf>
    <xf numFmtId="0" fontId="86" fillId="11" borderId="0" xfId="0" applyFont="1" applyFill="1" applyAlignment="1">
      <alignment horizontal="left" indent="2"/>
    </xf>
    <xf numFmtId="0" fontId="85" fillId="11" borderId="0" xfId="0" applyFont="1" applyFill="1" applyAlignment="1">
      <alignment horizontal="left" indent="1"/>
    </xf>
    <xf numFmtId="0" fontId="27" fillId="4" borderId="0" xfId="0" applyFont="1" applyFill="1" applyAlignment="1">
      <alignment horizontal="center"/>
    </xf>
    <xf numFmtId="0" fontId="36" fillId="4" borderId="0" xfId="0" applyFont="1" applyFill="1" applyAlignment="1">
      <alignment horizontal="center"/>
    </xf>
    <xf numFmtId="0" fontId="0" fillId="0" borderId="3" xfId="0" applyFill="1" applyBorder="1"/>
    <xf numFmtId="9" fontId="0" fillId="0" borderId="68" xfId="2" applyFont="1" applyFill="1" applyBorder="1" applyAlignment="1">
      <alignment horizontal="center" vertical="center"/>
    </xf>
    <xf numFmtId="9" fontId="2" fillId="14" borderId="9" xfId="2" applyFont="1" applyFill="1" applyBorder="1" applyAlignment="1" applyProtection="1">
      <alignment horizontal="center" vertical="center"/>
      <protection locked="0"/>
    </xf>
    <xf numFmtId="0" fontId="2" fillId="14" borderId="9" xfId="0" applyFont="1" applyFill="1" applyBorder="1" applyAlignment="1" applyProtection="1">
      <alignment horizontal="center" vertical="center"/>
      <protection locked="0"/>
    </xf>
    <xf numFmtId="0" fontId="2" fillId="14" borderId="9" xfId="0" applyFont="1" applyFill="1" applyBorder="1" applyAlignment="1" applyProtection="1">
      <alignment horizontal="center" vertical="center" wrapText="1"/>
      <protection locked="0"/>
    </xf>
    <xf numFmtId="166" fontId="2" fillId="11" borderId="9" xfId="2" applyNumberFormat="1" applyFont="1" applyFill="1" applyBorder="1" applyAlignment="1" applyProtection="1">
      <alignment horizontal="center" vertical="center"/>
      <protection locked="0"/>
    </xf>
    <xf numFmtId="0" fontId="2" fillId="11" borderId="30" xfId="0" applyFont="1" applyFill="1" applyBorder="1" applyAlignment="1">
      <alignment horizontal="center"/>
    </xf>
    <xf numFmtId="166" fontId="0" fillId="0" borderId="72" xfId="2" applyNumberFormat="1" applyFont="1" applyFill="1" applyBorder="1" applyAlignment="1">
      <alignment horizontal="center"/>
    </xf>
    <xf numFmtId="0" fontId="2" fillId="0" borderId="71" xfId="0" applyFont="1" applyFill="1" applyBorder="1" applyAlignment="1">
      <alignment horizontal="right"/>
    </xf>
    <xf numFmtId="0" fontId="0" fillId="0" borderId="0" xfId="0" applyFill="1" applyAlignment="1">
      <alignment vertical="center"/>
    </xf>
    <xf numFmtId="0" fontId="2" fillId="0" borderId="73" xfId="0" applyFont="1" applyFill="1" applyBorder="1" applyAlignment="1"/>
    <xf numFmtId="0" fontId="0" fillId="0" borderId="75" xfId="0" applyFill="1" applyBorder="1"/>
    <xf numFmtId="0" fontId="2" fillId="0" borderId="75" xfId="0" applyFont="1" applyFill="1" applyBorder="1" applyAlignment="1"/>
    <xf numFmtId="0" fontId="2" fillId="9" borderId="55" xfId="0" applyFont="1" applyFill="1" applyBorder="1" applyAlignment="1">
      <alignment horizontal="center" wrapText="1"/>
    </xf>
    <xf numFmtId="3" fontId="80" fillId="0" borderId="0" xfId="0" applyNumberFormat="1" applyFont="1" applyFill="1" applyBorder="1" applyAlignment="1">
      <alignment horizontal="center" vertical="center"/>
    </xf>
    <xf numFmtId="0" fontId="16" fillId="0" borderId="0" xfId="0" applyFont="1" applyFill="1" applyBorder="1"/>
    <xf numFmtId="0" fontId="68" fillId="0" borderId="0" xfId="0" applyFont="1" applyFill="1" applyBorder="1"/>
    <xf numFmtId="0" fontId="45" fillId="4" borderId="0" xfId="0" applyFont="1" applyFill="1"/>
    <xf numFmtId="0" fontId="80" fillId="0" borderId="0" xfId="0" applyFont="1" applyAlignment="1">
      <alignment vertical="center"/>
    </xf>
    <xf numFmtId="0" fontId="32" fillId="0" borderId="0" xfId="0" applyFont="1" applyFill="1" applyBorder="1" applyAlignment="1">
      <alignment horizontal="center" vertical="center" wrapText="1"/>
    </xf>
    <xf numFmtId="0" fontId="0" fillId="0" borderId="9" xfId="0" applyFill="1" applyBorder="1"/>
    <xf numFmtId="10" fontId="0" fillId="0" borderId="9" xfId="0" applyNumberFormat="1" applyFill="1" applyBorder="1" applyAlignment="1">
      <alignment horizontal="center"/>
    </xf>
    <xf numFmtId="0" fontId="0" fillId="0" borderId="9" xfId="0" applyFill="1" applyBorder="1" applyAlignment="1">
      <alignment horizontal="center"/>
    </xf>
    <xf numFmtId="43" fontId="0" fillId="0" borderId="9" xfId="1" applyFont="1" applyFill="1" applyBorder="1"/>
    <xf numFmtId="0" fontId="2" fillId="0" borderId="0" xfId="0" applyFont="1" applyFill="1" applyAlignment="1">
      <alignment vertical="center"/>
    </xf>
    <xf numFmtId="9" fontId="0" fillId="0" borderId="0" xfId="0" applyNumberFormat="1" applyFill="1" applyAlignment="1">
      <alignment vertical="center"/>
    </xf>
    <xf numFmtId="0" fontId="0" fillId="0" borderId="0" xfId="0" applyFill="1" applyAlignment="1">
      <alignment vertical="center" wrapText="1"/>
    </xf>
    <xf numFmtId="0" fontId="2" fillId="0" borderId="9" xfId="0" applyFont="1" applyFill="1" applyBorder="1" applyAlignment="1">
      <alignment horizontal="center" vertical="center" wrapText="1"/>
    </xf>
    <xf numFmtId="9" fontId="2" fillId="8" borderId="49" xfId="2" applyFont="1" applyFill="1" applyBorder="1" applyAlignment="1" applyProtection="1">
      <alignment horizontal="center" vertical="center"/>
      <protection locked="0"/>
    </xf>
    <xf numFmtId="170" fontId="31" fillId="0" borderId="0" xfId="0" applyNumberFormat="1" applyFont="1" applyAlignment="1">
      <alignment horizontal="left"/>
    </xf>
    <xf numFmtId="170" fontId="31" fillId="0" borderId="0" xfId="0" applyNumberFormat="1" applyFont="1" applyAlignment="1">
      <alignment horizontal="left" vertical="center"/>
    </xf>
    <xf numFmtId="0" fontId="89" fillId="0" borderId="0" xfId="0" applyFont="1" applyAlignment="1">
      <alignment vertical="top"/>
    </xf>
    <xf numFmtId="0" fontId="49" fillId="0" borderId="0" xfId="0" applyFont="1" applyFill="1" applyBorder="1" applyAlignment="1">
      <alignment horizontal="left" vertical="top" wrapText="1"/>
    </xf>
    <xf numFmtId="166" fontId="0" fillId="0" borderId="0" xfId="2" applyNumberFormat="1" applyFont="1" applyBorder="1"/>
    <xf numFmtId="166" fontId="0" fillId="0" borderId="57" xfId="2" applyNumberFormat="1" applyFont="1" applyFill="1" applyBorder="1" applyAlignment="1">
      <alignment horizontal="center" vertical="center"/>
    </xf>
    <xf numFmtId="166" fontId="0" fillId="0" borderId="57" xfId="2" applyNumberFormat="1" applyFont="1" applyFill="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167" fontId="0" fillId="0" borderId="0" xfId="0" applyNumberFormat="1" applyFill="1" applyBorder="1" applyAlignment="1">
      <alignment vertical="center"/>
    </xf>
    <xf numFmtId="3" fontId="0" fillId="0" borderId="57" xfId="0" applyNumberFormat="1" applyFill="1" applyBorder="1" applyAlignment="1">
      <alignment horizontal="center" vertical="center"/>
    </xf>
    <xf numFmtId="3" fontId="0" fillId="22" borderId="0" xfId="0" applyNumberFormat="1" applyFill="1" applyBorder="1" applyAlignment="1">
      <alignment horizontal="center" vertical="center"/>
    </xf>
    <xf numFmtId="0" fontId="2" fillId="9" borderId="56" xfId="0" applyFont="1" applyFill="1" applyBorder="1" applyAlignment="1">
      <alignment horizontal="center" vertical="center" wrapText="1"/>
    </xf>
    <xf numFmtId="3" fontId="0" fillId="9" borderId="57" xfId="0" applyNumberFormat="1" applyFill="1" applyBorder="1" applyAlignment="1">
      <alignment horizontal="center" vertical="center"/>
    </xf>
    <xf numFmtId="3" fontId="0" fillId="9" borderId="58" xfId="0" applyNumberFormat="1" applyFill="1" applyBorder="1" applyAlignment="1">
      <alignment horizontal="center" vertical="center"/>
    </xf>
    <xf numFmtId="3" fontId="0" fillId="9" borderId="59" xfId="0" applyNumberFormat="1" applyFill="1" applyBorder="1" applyAlignment="1">
      <alignment horizontal="center" vertical="center"/>
    </xf>
    <xf numFmtId="3" fontId="0" fillId="22" borderId="0" xfId="0" applyNumberFormat="1" applyFill="1" applyBorder="1" applyAlignment="1">
      <alignment vertical="center"/>
    </xf>
    <xf numFmtId="3" fontId="0" fillId="0" borderId="54" xfId="0" applyNumberFormat="1" applyFill="1" applyBorder="1" applyAlignment="1">
      <alignment horizontal="center" vertical="center"/>
    </xf>
    <xf numFmtId="3" fontId="0" fillId="0" borderId="0" xfId="0" applyNumberFormat="1" applyFill="1" applyBorder="1" applyAlignment="1">
      <alignment vertical="center"/>
    </xf>
    <xf numFmtId="0" fontId="0" fillId="30" borderId="0" xfId="0" applyFill="1"/>
    <xf numFmtId="16" fontId="0" fillId="0" borderId="0" xfId="0" applyNumberFormat="1"/>
    <xf numFmtId="0" fontId="0" fillId="0" borderId="0" xfId="0" applyFill="1" applyBorder="1" applyAlignment="1">
      <alignment horizontal="left" vertical="center"/>
    </xf>
    <xf numFmtId="0" fontId="62" fillId="0" borderId="9" xfId="0" applyFont="1" applyBorder="1" applyAlignment="1">
      <alignment wrapText="1"/>
    </xf>
    <xf numFmtId="0" fontId="15" fillId="0" borderId="0" xfId="0" applyFont="1" applyBorder="1"/>
    <xf numFmtId="0" fontId="15" fillId="0" borderId="0" xfId="0" applyFont="1" applyBorder="1" applyAlignment="1">
      <alignment horizontal="left"/>
    </xf>
    <xf numFmtId="0" fontId="90" fillId="0" borderId="0" xfId="0" applyFont="1" applyBorder="1" applyAlignment="1">
      <alignment horizontal="center"/>
    </xf>
    <xf numFmtId="0" fontId="0" fillId="0" borderId="0" xfId="0" applyBorder="1" applyAlignment="1"/>
    <xf numFmtId="0" fontId="0" fillId="5" borderId="0" xfId="0" applyFill="1" applyBorder="1"/>
    <xf numFmtId="0" fontId="15" fillId="4" borderId="0" xfId="0" applyFont="1" applyFill="1" applyBorder="1" applyAlignment="1">
      <alignment horizontal="left"/>
    </xf>
    <xf numFmtId="0" fontId="0" fillId="4" borderId="0" xfId="0" applyFont="1" applyFill="1" applyBorder="1" applyAlignment="1">
      <alignment horizontal="left"/>
    </xf>
    <xf numFmtId="0" fontId="90" fillId="4" borderId="0" xfId="0" applyFont="1" applyFill="1" applyBorder="1" applyAlignment="1">
      <alignment horizontal="center"/>
    </xf>
    <xf numFmtId="0" fontId="0" fillId="8" borderId="3" xfId="0" applyFill="1" applyBorder="1" applyAlignment="1"/>
    <xf numFmtId="0" fontId="0" fillId="8" borderId="0" xfId="0" applyFill="1" applyBorder="1" applyAlignment="1"/>
    <xf numFmtId="0" fontId="0" fillId="8" borderId="4" xfId="0" applyFill="1" applyBorder="1" applyAlignment="1"/>
    <xf numFmtId="0" fontId="0" fillId="12" borderId="3" xfId="0" applyFill="1" applyBorder="1"/>
    <xf numFmtId="0" fontId="0" fillId="12" borderId="0" xfId="0" applyFill="1" applyBorder="1"/>
    <xf numFmtId="0" fontId="0" fillId="12" borderId="4" xfId="0" applyFill="1" applyBorder="1"/>
    <xf numFmtId="0" fontId="0" fillId="14" borderId="3" xfId="0" applyFill="1" applyBorder="1"/>
    <xf numFmtId="0" fontId="0" fillId="14" borderId="0" xfId="0" applyFill="1" applyBorder="1"/>
    <xf numFmtId="0" fontId="0" fillId="7" borderId="3" xfId="0" applyFill="1" applyBorder="1"/>
    <xf numFmtId="0" fontId="0" fillId="7" borderId="0" xfId="0" applyFill="1" applyBorder="1"/>
    <xf numFmtId="0" fontId="0" fillId="7" borderId="4" xfId="0" applyFill="1" applyBorder="1"/>
    <xf numFmtId="0" fontId="0" fillId="31" borderId="0" xfId="0" applyFill="1" applyBorder="1"/>
    <xf numFmtId="0" fontId="90" fillId="0" borderId="0" xfId="0" applyFont="1" applyBorder="1" applyAlignment="1">
      <alignment horizontal="center" vertical="center" wrapText="1"/>
    </xf>
    <xf numFmtId="0" fontId="36" fillId="4" borderId="3" xfId="0" applyFont="1" applyFill="1" applyBorder="1" applyAlignment="1">
      <alignment horizontal="center" vertical="center" wrapText="1"/>
    </xf>
    <xf numFmtId="165" fontId="36" fillId="8" borderId="3" xfId="0" applyNumberFormat="1" applyFont="1" applyFill="1" applyBorder="1" applyAlignment="1">
      <alignment horizontal="center" vertical="center" wrapText="1"/>
    </xf>
    <xf numFmtId="165" fontId="36" fillId="8" borderId="0" xfId="0" applyNumberFormat="1" applyFont="1" applyFill="1" applyBorder="1" applyAlignment="1">
      <alignment horizontal="center" vertical="center" wrapText="1"/>
    </xf>
    <xf numFmtId="165" fontId="36" fillId="8" borderId="4" xfId="0" applyNumberFormat="1" applyFont="1" applyFill="1" applyBorder="1" applyAlignment="1">
      <alignment horizontal="center" vertical="center" wrapText="1"/>
    </xf>
    <xf numFmtId="0" fontId="36" fillId="12" borderId="3" xfId="0" applyFont="1" applyFill="1" applyBorder="1" applyAlignment="1">
      <alignment horizontal="center" vertical="center" wrapText="1"/>
    </xf>
    <xf numFmtId="0" fontId="36" fillId="12" borderId="0" xfId="0" applyFont="1" applyFill="1" applyBorder="1" applyAlignment="1">
      <alignment horizontal="center" vertical="center" wrapText="1"/>
    </xf>
    <xf numFmtId="0" fontId="36" fillId="12" borderId="4" xfId="0" applyFont="1" applyFill="1" applyBorder="1" applyAlignment="1">
      <alignment horizontal="center" vertical="center" wrapText="1"/>
    </xf>
    <xf numFmtId="0" fontId="36" fillId="14" borderId="3" xfId="0" applyFont="1" applyFill="1" applyBorder="1" applyAlignment="1">
      <alignment horizontal="center" vertical="center" wrapText="1"/>
    </xf>
    <xf numFmtId="165" fontId="36" fillId="14" borderId="0" xfId="0" applyNumberFormat="1" applyFont="1" applyFill="1" applyBorder="1" applyAlignment="1">
      <alignment horizontal="center" vertical="center" wrapText="1"/>
    </xf>
    <xf numFmtId="0" fontId="36" fillId="14" borderId="0" xfId="0" applyFont="1" applyFill="1" applyBorder="1" applyAlignment="1">
      <alignment horizontal="center" vertical="center" wrapText="1"/>
    </xf>
    <xf numFmtId="0" fontId="36" fillId="7" borderId="3" xfId="0" quotePrefix="1" applyFont="1" applyFill="1" applyBorder="1" applyAlignment="1">
      <alignment horizontal="center" vertical="center" wrapText="1"/>
    </xf>
    <xf numFmtId="0" fontId="36" fillId="7" borderId="0" xfId="0" quotePrefix="1"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31"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165" fontId="0" fillId="0" borderId="3" xfId="0" applyNumberFormat="1" applyFont="1" applyFill="1" applyBorder="1" applyAlignment="1">
      <alignment horizontal="center"/>
    </xf>
    <xf numFmtId="165" fontId="0" fillId="0" borderId="0" xfId="0" applyNumberFormat="1" applyFont="1" applyFill="1" applyBorder="1" applyAlignment="1">
      <alignment horizontal="center"/>
    </xf>
    <xf numFmtId="165" fontId="0" fillId="0" borderId="4" xfId="0" applyNumberFormat="1" applyFont="1" applyFill="1" applyBorder="1" applyAlignment="1">
      <alignment horizontal="center"/>
    </xf>
    <xf numFmtId="164" fontId="15" fillId="0" borderId="0" xfId="1" applyNumberFormat="1" applyFont="1" applyFill="1" applyBorder="1" applyAlignment="1">
      <alignment horizontal="center"/>
    </xf>
    <xf numFmtId="3" fontId="0" fillId="0" borderId="3"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4" xfId="0" applyNumberFormat="1" applyFont="1" applyFill="1" applyBorder="1" applyAlignment="1">
      <alignment horizontal="center"/>
    </xf>
    <xf numFmtId="165" fontId="15" fillId="0" borderId="3" xfId="0" applyNumberFormat="1" applyFont="1" applyFill="1" applyBorder="1" applyAlignment="1">
      <alignment horizontal="center"/>
    </xf>
    <xf numFmtId="3" fontId="15" fillId="0" borderId="3" xfId="0" applyNumberFormat="1" applyFont="1" applyFill="1" applyBorder="1" applyAlignment="1">
      <alignment horizontal="center"/>
    </xf>
    <xf numFmtId="165" fontId="0" fillId="0" borderId="3" xfId="0" applyNumberFormat="1" applyFont="1" applyFill="1" applyBorder="1" applyAlignment="1" applyProtection="1">
      <alignment horizontal="center"/>
      <protection locked="0"/>
    </xf>
    <xf numFmtId="165" fontId="0" fillId="0" borderId="0" xfId="0" applyNumberFormat="1" applyFont="1" applyFill="1" applyBorder="1" applyAlignment="1" applyProtection="1">
      <alignment horizontal="center"/>
      <protection locked="0"/>
    </xf>
    <xf numFmtId="165" fontId="0" fillId="0" borderId="4" xfId="0" applyNumberFormat="1" applyFont="1" applyFill="1" applyBorder="1" applyAlignment="1" applyProtection="1">
      <alignment horizontal="center"/>
      <protection locked="0"/>
    </xf>
    <xf numFmtId="3" fontId="15" fillId="0" borderId="0" xfId="0" applyNumberFormat="1" applyFont="1" applyFill="1" applyBorder="1" applyAlignment="1">
      <alignment horizontal="center"/>
    </xf>
    <xf numFmtId="10" fontId="0" fillId="0" borderId="0" xfId="0" applyNumberFormat="1" applyFill="1" applyBorder="1"/>
    <xf numFmtId="0" fontId="0" fillId="0" borderId="0" xfId="0" applyFont="1" applyFill="1" applyBorder="1" applyAlignment="1"/>
    <xf numFmtId="0" fontId="0" fillId="0" borderId="0" xfId="0" applyFont="1" applyFill="1" applyBorder="1"/>
    <xf numFmtId="165" fontId="15" fillId="0" borderId="0" xfId="0" applyNumberFormat="1" applyFont="1" applyFill="1" applyBorder="1" applyAlignment="1">
      <alignment horizontal="center"/>
    </xf>
    <xf numFmtId="165" fontId="15" fillId="0" borderId="4" xfId="0" applyNumberFormat="1" applyFont="1" applyFill="1" applyBorder="1" applyAlignment="1">
      <alignment horizontal="center"/>
    </xf>
    <xf numFmtId="3" fontId="15" fillId="0" borderId="4" xfId="0" applyNumberFormat="1" applyFont="1" applyFill="1" applyBorder="1" applyAlignment="1">
      <alignment horizontal="center"/>
    </xf>
    <xf numFmtId="0" fontId="15" fillId="0" borderId="0" xfId="0" applyFont="1" applyFill="1" applyBorder="1"/>
    <xf numFmtId="0" fontId="98" fillId="0" borderId="0" xfId="0" applyFont="1" applyFill="1" applyBorder="1"/>
    <xf numFmtId="0" fontId="49" fillId="0" borderId="0" xfId="0" applyFont="1" applyFill="1" applyBorder="1" applyAlignment="1">
      <alignment horizontal="center"/>
    </xf>
    <xf numFmtId="0" fontId="99" fillId="0" borderId="0" xfId="0" applyFont="1" applyFill="1" applyBorder="1" applyAlignment="1">
      <alignment horizontal="center"/>
    </xf>
    <xf numFmtId="166" fontId="0" fillId="0" borderId="0" xfId="2" applyNumberFormat="1" applyFont="1" applyBorder="1" applyAlignment="1"/>
    <xf numFmtId="3" fontId="7" fillId="0" borderId="0" xfId="0" applyNumberFormat="1" applyFont="1" applyFill="1" applyBorder="1"/>
    <xf numFmtId="3" fontId="7" fillId="0" borderId="0" xfId="0" applyNumberFormat="1" applyFont="1" applyFill="1" applyBorder="1" applyAlignment="1">
      <alignment horizontal="center"/>
    </xf>
    <xf numFmtId="0" fontId="91" fillId="0" borderId="0" xfId="0" applyFont="1" applyFill="1" applyBorder="1"/>
    <xf numFmtId="0" fontId="90" fillId="14" borderId="29" xfId="0" applyFont="1" applyFill="1" applyBorder="1"/>
    <xf numFmtId="0" fontId="90" fillId="14" borderId="30" xfId="0" applyFont="1" applyFill="1" applyBorder="1"/>
    <xf numFmtId="0" fontId="90" fillId="14" borderId="30" xfId="0" applyFont="1" applyFill="1" applyBorder="1" applyAlignment="1">
      <alignment horizontal="center"/>
    </xf>
    <xf numFmtId="0" fontId="2" fillId="14" borderId="30" xfId="0" applyFont="1" applyFill="1" applyBorder="1" applyAlignment="1">
      <alignment horizontal="center"/>
    </xf>
    <xf numFmtId="166" fontId="2" fillId="14" borderId="30" xfId="0" applyNumberFormat="1" applyFont="1" applyFill="1" applyBorder="1" applyAlignment="1"/>
    <xf numFmtId="166" fontId="2" fillId="14" borderId="30" xfId="0" applyNumberFormat="1" applyFont="1" applyFill="1" applyBorder="1"/>
    <xf numFmtId="3" fontId="2" fillId="14" borderId="30" xfId="0" applyNumberFormat="1" applyFont="1" applyFill="1" applyBorder="1"/>
    <xf numFmtId="3" fontId="2" fillId="14" borderId="30" xfId="0" applyNumberFormat="1" applyFont="1" applyFill="1" applyBorder="1" applyAlignment="1">
      <alignment horizontal="center"/>
    </xf>
    <xf numFmtId="3" fontId="2" fillId="14" borderId="15" xfId="0" applyNumberFormat="1" applyFont="1" applyFill="1" applyBorder="1" applyAlignment="1">
      <alignment horizontal="center"/>
    </xf>
    <xf numFmtId="0" fontId="41" fillId="0" borderId="0" xfId="0" applyFont="1" applyBorder="1" applyAlignment="1">
      <alignment horizontal="center"/>
    </xf>
    <xf numFmtId="0" fontId="15" fillId="0" borderId="0" xfId="0" applyFont="1" applyBorder="1" applyAlignment="1">
      <alignment horizontal="center"/>
    </xf>
    <xf numFmtId="166" fontId="0" fillId="0" borderId="0" xfId="0" applyNumberFormat="1" applyBorder="1"/>
    <xf numFmtId="0" fontId="0" fillId="0" borderId="0" xfId="0" applyBorder="1" applyAlignment="1">
      <alignment horizontal="center"/>
    </xf>
    <xf numFmtId="3" fontId="0" fillId="0" borderId="0" xfId="0" applyNumberFormat="1" applyBorder="1" applyAlignment="1">
      <alignment horizontal="center"/>
    </xf>
    <xf numFmtId="0" fontId="41" fillId="0" borderId="62" xfId="0" applyFont="1" applyBorder="1" applyAlignment="1">
      <alignment horizontal="right"/>
    </xf>
    <xf numFmtId="0" fontId="41" fillId="0" borderId="61" xfId="0" applyFont="1" applyBorder="1" applyAlignment="1">
      <alignment horizontal="right"/>
    </xf>
    <xf numFmtId="0" fontId="41" fillId="0" borderId="63" xfId="0" applyFont="1" applyBorder="1" applyAlignment="1">
      <alignment horizontal="right"/>
    </xf>
    <xf numFmtId="0" fontId="15" fillId="0" borderId="8" xfId="0" applyFont="1" applyBorder="1"/>
    <xf numFmtId="0" fontId="41" fillId="0" borderId="8" xfId="0" applyFont="1" applyBorder="1" applyAlignment="1">
      <alignment horizontal="center"/>
    </xf>
    <xf numFmtId="0" fontId="90" fillId="0" borderId="8" xfId="0" applyFont="1" applyBorder="1" applyAlignment="1">
      <alignment horizontal="center"/>
    </xf>
    <xf numFmtId="9" fontId="0" fillId="0" borderId="0" xfId="2" applyFont="1" applyBorder="1"/>
    <xf numFmtId="164" fontId="0" fillId="0" borderId="0" xfId="0" applyNumberFormat="1" applyBorder="1"/>
    <xf numFmtId="0" fontId="49" fillId="0" borderId="0" xfId="0" applyFont="1" applyFill="1" applyBorder="1" applyAlignment="1">
      <alignment horizontal="right"/>
    </xf>
    <xf numFmtId="166" fontId="7" fillId="0" borderId="0" xfId="0" applyNumberFormat="1" applyFont="1" applyBorder="1"/>
    <xf numFmtId="166" fontId="7" fillId="0" borderId="0" xfId="2" applyNumberFormat="1" applyFont="1" applyBorder="1"/>
    <xf numFmtId="0" fontId="91" fillId="0" borderId="0" xfId="0" applyFont="1" applyBorder="1" applyAlignment="1">
      <alignment horizontal="center"/>
    </xf>
    <xf numFmtId="166" fontId="0" fillId="0" borderId="0" xfId="0" applyNumberFormat="1" applyFill="1" applyBorder="1"/>
    <xf numFmtId="10" fontId="0" fillId="0" borderId="0" xfId="2" applyNumberFormat="1" applyFont="1" applyBorder="1"/>
    <xf numFmtId="0" fontId="93" fillId="0" borderId="3" xfId="0" applyFont="1" applyFill="1" applyBorder="1" applyAlignment="1">
      <alignment horizontal="center" vertical="center" wrapText="1"/>
    </xf>
    <xf numFmtId="0" fontId="70"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92" fillId="0" borderId="3" xfId="0" applyFont="1" applyFill="1" applyBorder="1" applyAlignment="1">
      <alignment horizontal="center" vertical="center" wrapText="1"/>
    </xf>
    <xf numFmtId="166" fontId="2" fillId="0" borderId="9" xfId="2" applyNumberFormat="1" applyFont="1" applyFill="1" applyBorder="1" applyAlignment="1" applyProtection="1">
      <alignment horizontal="center" vertical="center"/>
      <protection locked="0"/>
    </xf>
    <xf numFmtId="0" fontId="2" fillId="11" borderId="9" xfId="0" applyFont="1" applyFill="1" applyBorder="1" applyAlignment="1">
      <alignment horizontal="center" vertical="center" wrapText="1"/>
    </xf>
    <xf numFmtId="0" fontId="36" fillId="17" borderId="13" xfId="0" applyFont="1" applyFill="1" applyBorder="1" applyAlignment="1">
      <alignment horizontal="center" vertical="center"/>
    </xf>
    <xf numFmtId="0" fontId="100" fillId="4" borderId="0" xfId="0" applyFont="1" applyFill="1" applyAlignment="1">
      <alignment horizontal="left" vertical="center"/>
    </xf>
    <xf numFmtId="0" fontId="101" fillId="4" borderId="0" xfId="0" applyFont="1" applyFill="1" applyBorder="1" applyAlignment="1">
      <alignment horizontal="left" vertical="center"/>
    </xf>
    <xf numFmtId="0" fontId="78" fillId="0" borderId="78" xfId="0" applyFont="1" applyFill="1" applyBorder="1" applyAlignment="1">
      <alignment vertical="center"/>
    </xf>
    <xf numFmtId="0" fontId="102" fillId="0" borderId="78" xfId="0" applyFont="1" applyFill="1" applyBorder="1" applyAlignment="1">
      <alignment vertical="center"/>
    </xf>
    <xf numFmtId="0" fontId="103" fillId="0" borderId="0" xfId="0" applyFont="1" applyFill="1" applyAlignment="1">
      <alignment horizontal="left" vertical="center"/>
    </xf>
    <xf numFmtId="0" fontId="95" fillId="0" borderId="3" xfId="0" applyFont="1" applyFill="1" applyBorder="1" applyAlignment="1">
      <alignment vertical="center" wrapText="1"/>
    </xf>
    <xf numFmtId="0" fontId="2" fillId="0" borderId="0" xfId="0" applyFont="1" applyAlignment="1">
      <alignment horizontal="center"/>
    </xf>
    <xf numFmtId="0" fontId="2" fillId="0" borderId="9" xfId="0" applyFont="1" applyBorder="1" applyAlignment="1">
      <alignment horizontal="center"/>
    </xf>
    <xf numFmtId="17" fontId="0" fillId="33" borderId="0" xfId="0" applyNumberFormat="1" applyFill="1"/>
    <xf numFmtId="0" fontId="5" fillId="33" borderId="0" xfId="0" applyFont="1" applyFill="1" applyBorder="1"/>
    <xf numFmtId="165" fontId="5" fillId="33" borderId="0" xfId="0" applyNumberFormat="1" applyFont="1" applyFill="1" applyAlignment="1">
      <alignment horizontal="center"/>
    </xf>
    <xf numFmtId="0" fontId="5" fillId="33" borderId="3" xfId="0" applyFont="1" applyFill="1" applyBorder="1" applyAlignment="1">
      <alignment horizontal="left"/>
    </xf>
    <xf numFmtId="165" fontId="5" fillId="33" borderId="0" xfId="0" applyNumberFormat="1" applyFont="1" applyFill="1" applyBorder="1" applyAlignment="1">
      <alignment horizontal="center" wrapText="1"/>
    </xf>
    <xf numFmtId="165" fontId="5" fillId="33" borderId="0" xfId="0" applyNumberFormat="1" applyFont="1" applyFill="1" applyBorder="1" applyAlignment="1">
      <alignment horizontal="center"/>
    </xf>
    <xf numFmtId="0" fontId="0" fillId="33" borderId="0" xfId="0" applyFill="1"/>
    <xf numFmtId="0" fontId="0" fillId="0" borderId="9" xfId="0" applyBorder="1" applyAlignment="1">
      <alignment horizontal="center" vertical="center" wrapText="1"/>
    </xf>
    <xf numFmtId="0" fontId="82" fillId="0" borderId="0" xfId="0" applyFont="1" applyAlignment="1">
      <alignment horizontal="left" vertical="top"/>
    </xf>
    <xf numFmtId="0" fontId="24" fillId="0" borderId="0" xfId="0" applyFont="1" applyFill="1" applyAlignment="1">
      <alignment horizontal="left"/>
    </xf>
    <xf numFmtId="0" fontId="24" fillId="0" borderId="0" xfId="0" applyFont="1" applyFill="1" applyBorder="1" applyAlignment="1">
      <alignment horizontal="left"/>
    </xf>
    <xf numFmtId="3" fontId="0" fillId="0" borderId="59" xfId="0" applyNumberFormat="1" applyFill="1" applyBorder="1" applyAlignment="1">
      <alignment horizontal="center" vertical="center"/>
    </xf>
    <xf numFmtId="3" fontId="0" fillId="0" borderId="79" xfId="0" applyNumberFormat="1" applyFill="1" applyBorder="1" applyAlignment="1">
      <alignment horizontal="center" vertical="center"/>
    </xf>
    <xf numFmtId="3" fontId="0" fillId="0" borderId="56" xfId="0" applyNumberFormat="1" applyFill="1" applyBorder="1" applyAlignment="1">
      <alignment horizontal="center" vertical="center"/>
    </xf>
    <xf numFmtId="0" fontId="90" fillId="34" borderId="0" xfId="0" applyFont="1" applyFill="1" applyAlignment="1">
      <alignment horizontal="center" vertical="center" wrapText="1"/>
    </xf>
    <xf numFmtId="0" fontId="90" fillId="35" borderId="0" xfId="0" applyFont="1" applyFill="1" applyAlignment="1">
      <alignment horizontal="center" vertical="center" wrapText="1"/>
    </xf>
    <xf numFmtId="0" fontId="90" fillId="35" borderId="0" xfId="0" applyFont="1" applyFill="1" applyAlignment="1">
      <alignment horizontal="center" vertical="center"/>
    </xf>
    <xf numFmtId="0" fontId="90" fillId="34" borderId="0" xfId="0" applyFont="1" applyFill="1" applyAlignment="1">
      <alignment horizontal="center" vertical="center"/>
    </xf>
    <xf numFmtId="0" fontId="2" fillId="34" borderId="0" xfId="0" applyFont="1" applyFill="1" applyAlignment="1">
      <alignment horizontal="center" vertical="center"/>
    </xf>
    <xf numFmtId="0" fontId="2" fillId="35" borderId="0" xfId="0" applyFont="1" applyFill="1" applyAlignment="1">
      <alignment horizontal="center" vertical="center"/>
    </xf>
    <xf numFmtId="0" fontId="90" fillId="9" borderId="0" xfId="0" applyFont="1" applyFill="1" applyAlignment="1">
      <alignment horizontal="center" vertical="center"/>
    </xf>
    <xf numFmtId="0" fontId="36" fillId="4" borderId="0" xfId="0" applyFont="1" applyFill="1" applyAlignment="1">
      <alignment horizontal="center" vertical="center" wrapText="1"/>
    </xf>
    <xf numFmtId="0" fontId="15" fillId="34" borderId="0" xfId="0" applyFont="1" applyFill="1" applyAlignment="1">
      <alignment horizontal="center"/>
    </xf>
    <xf numFmtId="0" fontId="15" fillId="35" borderId="0" xfId="0" applyFont="1"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15" fillId="9" borderId="0" xfId="0" applyFont="1" applyFill="1" applyAlignment="1">
      <alignment horizontal="center"/>
    </xf>
    <xf numFmtId="0" fontId="88" fillId="0" borderId="52" xfId="0" applyFont="1" applyFill="1" applyBorder="1" applyAlignment="1">
      <alignment horizontal="center" vertical="center" wrapText="1"/>
    </xf>
    <xf numFmtId="0" fontId="88" fillId="0" borderId="56" xfId="0" applyFont="1" applyFill="1" applyBorder="1" applyAlignment="1">
      <alignment horizontal="center" vertical="center" wrapText="1"/>
    </xf>
    <xf numFmtId="0" fontId="88" fillId="0" borderId="56" xfId="0" applyFont="1" applyFill="1" applyBorder="1" applyAlignment="1">
      <alignment horizontal="center" wrapText="1"/>
    </xf>
    <xf numFmtId="0" fontId="31" fillId="0" borderId="0" xfId="0" applyFont="1" applyAlignment="1">
      <alignment horizontal="right"/>
    </xf>
    <xf numFmtId="0" fontId="0" fillId="0" borderId="0" xfId="0" applyFont="1" applyAlignment="1">
      <alignment wrapText="1"/>
    </xf>
    <xf numFmtId="0" fontId="24" fillId="0" borderId="0" xfId="0" applyFont="1" applyFill="1" applyAlignment="1">
      <alignment horizontal="center" vertical="center" wrapText="1"/>
    </xf>
    <xf numFmtId="0" fontId="2"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0" xfId="0" applyFont="1" applyFill="1" applyBorder="1" applyAlignment="1">
      <alignment vertical="center"/>
    </xf>
    <xf numFmtId="0" fontId="2" fillId="14" borderId="9" xfId="0" applyFont="1" applyFill="1" applyBorder="1" applyAlignment="1">
      <alignment horizontal="center" vertical="center"/>
    </xf>
    <xf numFmtId="0" fontId="105" fillId="14" borderId="9" xfId="7" applyFont="1" applyFill="1" applyBorder="1" applyAlignment="1">
      <alignment horizontal="center" vertical="center"/>
    </xf>
    <xf numFmtId="0" fontId="2" fillId="0" borderId="0" xfId="0" applyFont="1" applyFill="1" applyBorder="1" applyAlignment="1">
      <alignment horizontal="center"/>
    </xf>
    <xf numFmtId="0" fontId="106" fillId="0" borderId="0" xfId="0" applyFont="1" applyFill="1" applyBorder="1" applyAlignment="1">
      <alignment horizontal="right" vertical="center"/>
    </xf>
    <xf numFmtId="0" fontId="90" fillId="35" borderId="0" xfId="0" applyFont="1" applyFill="1" applyAlignment="1">
      <alignment horizontal="center"/>
    </xf>
    <xf numFmtId="0" fontId="89" fillId="0" borderId="0" xfId="0" applyFont="1" applyAlignment="1">
      <alignment vertical="center"/>
    </xf>
    <xf numFmtId="2" fontId="0" fillId="0" borderId="9" xfId="0" applyNumberFormat="1" applyBorder="1" applyAlignment="1">
      <alignment horizontal="center" vertical="center"/>
    </xf>
    <xf numFmtId="0" fontId="0" fillId="0" borderId="82" xfId="0" applyFill="1" applyBorder="1" applyAlignment="1">
      <alignment horizontal="left" vertical="center" wrapText="1"/>
    </xf>
    <xf numFmtId="0" fontId="0" fillId="0" borderId="21" xfId="0" applyFill="1" applyBorder="1" applyAlignment="1">
      <alignment horizontal="left" vertical="center"/>
    </xf>
    <xf numFmtId="0" fontId="0" fillId="14" borderId="21" xfId="0" applyFill="1" applyBorder="1" applyAlignment="1">
      <alignment horizontal="left" vertical="center"/>
    </xf>
    <xf numFmtId="0" fontId="0" fillId="0" borderId="9" xfId="0" applyFill="1" applyBorder="1" applyAlignment="1">
      <alignment horizontal="center" vertical="center" wrapText="1"/>
    </xf>
    <xf numFmtId="0" fontId="0" fillId="0" borderId="9" xfId="0" applyNumberFormat="1" applyFill="1" applyBorder="1" applyAlignment="1">
      <alignment wrapText="1"/>
    </xf>
    <xf numFmtId="0" fontId="0" fillId="0" borderId="9" xfId="0" applyFill="1" applyBorder="1" applyAlignment="1">
      <alignment horizontal="right" vertical="center"/>
    </xf>
    <xf numFmtId="0" fontId="0" fillId="14" borderId="9" xfId="0" applyFill="1" applyBorder="1" applyAlignment="1">
      <alignment horizontal="right" vertical="center"/>
    </xf>
    <xf numFmtId="0" fontId="10" fillId="0" borderId="0" xfId="7"/>
    <xf numFmtId="0" fontId="0" fillId="36" borderId="0" xfId="0" applyFill="1"/>
    <xf numFmtId="0" fontId="0" fillId="36" borderId="0" xfId="0" applyFill="1" applyAlignment="1">
      <alignment wrapText="1"/>
    </xf>
    <xf numFmtId="0" fontId="107" fillId="0" borderId="0" xfId="0" applyFont="1"/>
    <xf numFmtId="0" fontId="108" fillId="0" borderId="0" xfId="7" applyFont="1"/>
    <xf numFmtId="0" fontId="0" fillId="0" borderId="0" xfId="0" applyAlignment="1">
      <alignment horizontal="right" wrapText="1"/>
    </xf>
    <xf numFmtId="0" fontId="2" fillId="0" borderId="9" xfId="0" applyFont="1" applyBorder="1" applyAlignment="1">
      <alignment horizontal="left" wrapText="1"/>
    </xf>
    <xf numFmtId="0" fontId="36" fillId="17" borderId="48" xfId="0" applyFont="1" applyFill="1" applyBorder="1" applyAlignment="1">
      <alignment horizontal="center" vertical="center" wrapText="1"/>
    </xf>
    <xf numFmtId="0" fontId="33" fillId="0" borderId="0" xfId="0" applyFont="1" applyAlignment="1">
      <alignment horizontal="left" vertical="top" wrapText="1"/>
    </xf>
    <xf numFmtId="0" fontId="0" fillId="0" borderId="0" xfId="0" applyAlignment="1">
      <alignment horizontal="left"/>
    </xf>
    <xf numFmtId="0" fontId="0" fillId="0" borderId="9" xfId="0" applyBorder="1" applyAlignment="1">
      <alignment horizontal="right"/>
    </xf>
    <xf numFmtId="0" fontId="0" fillId="0" borderId="9" xfId="0" applyBorder="1" applyAlignment="1">
      <alignment horizontal="right" wrapText="1"/>
    </xf>
    <xf numFmtId="0" fontId="0" fillId="0" borderId="0" xfId="0" applyAlignment="1">
      <alignment horizontal="left"/>
    </xf>
    <xf numFmtId="0" fontId="2" fillId="0" borderId="0" xfId="0" applyFont="1" applyBorder="1" applyAlignment="1">
      <alignment horizontal="right" vertical="center" wrapText="1"/>
    </xf>
    <xf numFmtId="0" fontId="15" fillId="0" borderId="0" xfId="0" applyFont="1" applyBorder="1" applyAlignment="1">
      <alignment horizontal="left" vertical="center"/>
    </xf>
    <xf numFmtId="0" fontId="0" fillId="0" borderId="0" xfId="0" applyBorder="1" applyAlignment="1">
      <alignment horizontal="left"/>
    </xf>
    <xf numFmtId="9" fontId="25" fillId="0" borderId="0" xfId="2" applyFont="1" applyFill="1" applyBorder="1"/>
    <xf numFmtId="0" fontId="27" fillId="17" borderId="0" xfId="0" applyFont="1" applyFill="1" applyAlignment="1">
      <alignment horizontal="center"/>
    </xf>
    <xf numFmtId="0" fontId="36" fillId="17" borderId="7" xfId="0" applyFont="1" applyFill="1" applyBorder="1" applyAlignment="1">
      <alignment horizontal="center"/>
    </xf>
    <xf numFmtId="0" fontId="36" fillId="17" borderId="1" xfId="0" applyFont="1" applyFill="1" applyBorder="1" applyAlignment="1">
      <alignment horizontal="center"/>
    </xf>
    <xf numFmtId="0" fontId="0" fillId="0" borderId="0" xfId="0" applyFont="1" applyAlignment="1">
      <alignment horizontal="center"/>
    </xf>
    <xf numFmtId="0" fontId="7" fillId="0" borderId="9" xfId="0" applyFont="1" applyBorder="1" applyAlignment="1">
      <alignment vertical="center" wrapText="1"/>
    </xf>
    <xf numFmtId="0" fontId="27" fillId="17" borderId="0" xfId="0" applyFont="1" applyFill="1" applyAlignment="1">
      <alignment horizontal="center" vertical="center"/>
    </xf>
    <xf numFmtId="0" fontId="36" fillId="17" borderId="7" xfId="0" applyFont="1" applyFill="1" applyBorder="1" applyAlignment="1">
      <alignment horizontal="center" vertical="center"/>
    </xf>
    <xf numFmtId="0" fontId="36" fillId="17" borderId="1" xfId="0" applyFont="1" applyFill="1" applyBorder="1" applyAlignment="1">
      <alignment horizontal="center" vertical="center"/>
    </xf>
    <xf numFmtId="0" fontId="0" fillId="0" borderId="0" xfId="0" applyFont="1" applyAlignment="1">
      <alignment horizontal="center" vertical="center"/>
    </xf>
    <xf numFmtId="0" fontId="0" fillId="14" borderId="0" xfId="0" applyFill="1" applyAlignment="1">
      <alignment wrapText="1"/>
    </xf>
    <xf numFmtId="0" fontId="7" fillId="0" borderId="0" xfId="0" applyFont="1" applyBorder="1" applyAlignment="1">
      <alignment vertical="center" wrapText="1"/>
    </xf>
    <xf numFmtId="0" fontId="16" fillId="0" borderId="9" xfId="0" applyFont="1" applyBorder="1" applyAlignment="1">
      <alignment horizontal="left"/>
    </xf>
    <xf numFmtId="0" fontId="0" fillId="2" borderId="9" xfId="0" applyFill="1" applyBorder="1" applyAlignment="1">
      <alignment horizontal="left"/>
    </xf>
    <xf numFmtId="0" fontId="12" fillId="0" borderId="9" xfId="0" applyFont="1" applyBorder="1" applyAlignment="1">
      <alignment horizontal="left"/>
    </xf>
    <xf numFmtId="0" fontId="3" fillId="0" borderId="9" xfId="0" applyFont="1" applyBorder="1" applyAlignment="1">
      <alignment horizontal="left"/>
    </xf>
    <xf numFmtId="0" fontId="2" fillId="0" borderId="9" xfId="0" applyFont="1" applyBorder="1" applyAlignment="1"/>
    <xf numFmtId="0" fontId="7" fillId="0" borderId="9" xfId="0" applyFont="1" applyBorder="1" applyAlignment="1"/>
    <xf numFmtId="20" fontId="9" fillId="0" borderId="9" xfId="0" applyNumberFormat="1" applyFont="1" applyBorder="1" applyAlignment="1">
      <alignment horizontal="left"/>
    </xf>
    <xf numFmtId="0" fontId="7" fillId="0" borderId="9" xfId="0" applyFont="1" applyBorder="1" applyAlignment="1">
      <alignment horizontal="left"/>
    </xf>
    <xf numFmtId="0" fontId="7" fillId="0" borderId="9" xfId="0" applyFont="1" applyBorder="1" applyAlignment="1">
      <alignment horizontal="left" vertical="top"/>
    </xf>
    <xf numFmtId="0" fontId="2" fillId="0" borderId="9" xfId="0" applyFont="1" applyBorder="1" applyAlignment="1">
      <alignment horizontal="left"/>
    </xf>
    <xf numFmtId="0" fontId="0" fillId="0" borderId="9" xfId="0" applyFill="1" applyBorder="1" applyAlignment="1">
      <alignment horizontal="left"/>
    </xf>
    <xf numFmtId="0" fontId="11" fillId="0" borderId="9" xfId="0" applyFont="1" applyFill="1" applyBorder="1" applyAlignment="1">
      <alignment horizontal="left"/>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Fill="1" applyBorder="1" applyAlignment="1">
      <alignment horizontal="left" vertical="center"/>
    </xf>
    <xf numFmtId="0" fontId="83" fillId="0" borderId="0" xfId="0" applyFont="1" applyBorder="1" applyAlignment="1">
      <alignment vertical="center" wrapText="1"/>
    </xf>
    <xf numFmtId="0" fontId="83" fillId="0" borderId="3" xfId="0" applyFont="1" applyBorder="1" applyAlignment="1">
      <alignment vertical="center"/>
    </xf>
    <xf numFmtId="166" fontId="0" fillId="29" borderId="0" xfId="2" applyNumberFormat="1" applyFont="1" applyFill="1" applyBorder="1" applyAlignment="1" applyProtection="1">
      <alignment vertical="center"/>
      <protection locked="0"/>
    </xf>
    <xf numFmtId="0" fontId="2" fillId="0" borderId="9" xfId="0" applyFont="1" applyBorder="1" applyAlignment="1">
      <alignment horizontal="center" vertical="center" wrapText="1"/>
    </xf>
    <xf numFmtId="0" fontId="0" fillId="0" borderId="0" xfId="0" applyAlignment="1">
      <alignment horizontal="right"/>
    </xf>
    <xf numFmtId="0" fontId="31" fillId="0" borderId="0" xfId="0" applyFont="1" applyAlignment="1">
      <alignment horizontal="left" vertical="center"/>
    </xf>
    <xf numFmtId="10" fontId="0" fillId="0" borderId="9" xfId="0" applyNumberFormat="1" applyBorder="1"/>
    <xf numFmtId="9" fontId="0" fillId="0" borderId="9" xfId="0" applyNumberFormat="1" applyBorder="1"/>
    <xf numFmtId="0" fontId="109" fillId="0" borderId="0" xfId="0" applyFont="1"/>
    <xf numFmtId="0" fontId="0" fillId="2" borderId="9" xfId="0" applyFill="1" applyBorder="1"/>
    <xf numFmtId="2" fontId="0" fillId="2" borderId="0" xfId="0" applyNumberFormat="1" applyFill="1"/>
    <xf numFmtId="3" fontId="70" fillId="0" borderId="0" xfId="0" applyNumberFormat="1" applyFont="1" applyFill="1" applyBorder="1" applyAlignment="1">
      <alignment horizontal="center" vertical="center" wrapText="1"/>
    </xf>
    <xf numFmtId="166" fontId="70" fillId="0" borderId="0" xfId="2" applyNumberFormat="1" applyFont="1" applyFill="1" applyBorder="1" applyAlignment="1">
      <alignment horizontal="center" vertical="center" wrapText="1"/>
    </xf>
    <xf numFmtId="3" fontId="70" fillId="0" borderId="85" xfId="0" applyNumberFormat="1" applyFont="1" applyFill="1" applyBorder="1" applyAlignment="1">
      <alignment horizontal="center" vertical="center" wrapText="1"/>
    </xf>
    <xf numFmtId="3" fontId="70" fillId="0" borderId="86" xfId="0" applyNumberFormat="1" applyFont="1" applyFill="1" applyBorder="1" applyAlignment="1">
      <alignment horizontal="center" vertical="center" wrapText="1"/>
    </xf>
    <xf numFmtId="166" fontId="70" fillId="0" borderId="85" xfId="2" applyNumberFormat="1" applyFont="1" applyFill="1" applyBorder="1" applyAlignment="1">
      <alignment horizontal="center" vertical="center" wrapText="1"/>
    </xf>
    <xf numFmtId="166" fontId="70" fillId="0" borderId="86" xfId="2" applyNumberFormat="1" applyFont="1" applyFill="1" applyBorder="1" applyAlignment="1">
      <alignment horizontal="center" vertical="center" wrapText="1"/>
    </xf>
    <xf numFmtId="166" fontId="70" fillId="0" borderId="87" xfId="2" applyNumberFormat="1" applyFont="1" applyFill="1" applyBorder="1" applyAlignment="1">
      <alignment horizontal="center" vertical="center" wrapText="1"/>
    </xf>
    <xf numFmtId="166" fontId="70" fillId="0" borderId="88" xfId="2" applyNumberFormat="1" applyFont="1" applyFill="1" applyBorder="1" applyAlignment="1">
      <alignment horizontal="center" vertical="center" wrapText="1"/>
    </xf>
    <xf numFmtId="0" fontId="31" fillId="0" borderId="0" xfId="0" applyFont="1" applyAlignment="1">
      <alignment vertical="center"/>
    </xf>
    <xf numFmtId="0" fontId="36" fillId="0" borderId="0" xfId="0" applyFont="1" applyFill="1" applyAlignment="1">
      <alignment horizontal="left"/>
    </xf>
    <xf numFmtId="0" fontId="0" fillId="0" borderId="9" xfId="0" applyFill="1" applyBorder="1" applyAlignment="1">
      <alignment vertical="center" wrapText="1"/>
    </xf>
    <xf numFmtId="3" fontId="70" fillId="0" borderId="87" xfId="0" applyNumberFormat="1" applyFont="1" applyFill="1" applyBorder="1" applyAlignment="1">
      <alignment horizontal="center" vertical="center" wrapText="1"/>
    </xf>
    <xf numFmtId="3" fontId="70" fillId="0" borderId="88" xfId="0" applyNumberFormat="1" applyFont="1" applyFill="1" applyBorder="1" applyAlignment="1">
      <alignment horizontal="center" vertical="center" wrapText="1"/>
    </xf>
    <xf numFmtId="3" fontId="70" fillId="0" borderId="90" xfId="0" applyNumberFormat="1" applyFont="1" applyFill="1" applyBorder="1" applyAlignment="1">
      <alignment horizontal="center" vertical="center" wrapText="1"/>
    </xf>
    <xf numFmtId="3" fontId="70" fillId="0" borderId="91" xfId="0" applyNumberFormat="1" applyFont="1" applyFill="1" applyBorder="1" applyAlignment="1">
      <alignment horizontal="center" vertical="center" wrapText="1"/>
    </xf>
    <xf numFmtId="0" fontId="0" fillId="0" borderId="9" xfId="0" applyFill="1" applyBorder="1" applyAlignment="1">
      <alignment vertical="center"/>
    </xf>
    <xf numFmtId="0" fontId="0" fillId="0" borderId="3" xfId="0" applyBorder="1" applyAlignment="1">
      <alignment vertical="center"/>
    </xf>
    <xf numFmtId="0" fontId="0" fillId="0" borderId="0" xfId="0" applyFill="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7" fillId="0" borderId="9" xfId="0" applyFont="1" applyBorder="1" applyAlignment="1">
      <alignment vertical="center"/>
    </xf>
    <xf numFmtId="0" fontId="28" fillId="4" borderId="0" xfId="0" applyFont="1" applyFill="1" applyAlignment="1">
      <alignment horizontal="right"/>
    </xf>
    <xf numFmtId="3" fontId="70" fillId="0" borderId="85" xfId="2" applyNumberFormat="1" applyFont="1" applyFill="1" applyBorder="1" applyAlignment="1">
      <alignment horizontal="center" vertical="center" wrapText="1"/>
    </xf>
    <xf numFmtId="3" fontId="70" fillId="0" borderId="86" xfId="2" applyNumberFormat="1" applyFont="1" applyFill="1" applyBorder="1" applyAlignment="1">
      <alignment horizontal="center" vertical="center" wrapText="1"/>
    </xf>
    <xf numFmtId="3" fontId="0" fillId="11" borderId="9" xfId="1" applyNumberFormat="1" applyFont="1" applyFill="1" applyBorder="1" applyAlignment="1" applyProtection="1">
      <alignment vertical="center"/>
      <protection locked="0"/>
    </xf>
    <xf numFmtId="0" fontId="0" fillId="0" borderId="0" xfId="0" applyBorder="1" applyAlignment="1">
      <alignment horizontal="left" vertical="center"/>
    </xf>
    <xf numFmtId="0" fontId="7" fillId="0" borderId="9" xfId="0" applyFont="1" applyBorder="1" applyAlignment="1">
      <alignment horizontal="center" vertical="center"/>
    </xf>
    <xf numFmtId="0" fontId="0" fillId="0" borderId="0" xfId="0" applyFont="1" applyBorder="1" applyAlignment="1">
      <alignment horizontal="right" vertical="center" wrapText="1"/>
    </xf>
    <xf numFmtId="10" fontId="0" fillId="0" borderId="0" xfId="2" applyNumberFormat="1" applyFont="1"/>
    <xf numFmtId="172" fontId="0" fillId="0" borderId="0" xfId="2" applyNumberFormat="1" applyFont="1"/>
    <xf numFmtId="171" fontId="0" fillId="0" borderId="0" xfId="0" applyNumberFormat="1"/>
    <xf numFmtId="10" fontId="0" fillId="11" borderId="9" xfId="2" applyNumberFormat="1" applyFont="1" applyFill="1" applyBorder="1" applyAlignment="1" applyProtection="1">
      <alignment vertical="center"/>
      <protection locked="0"/>
    </xf>
    <xf numFmtId="0" fontId="28" fillId="0" borderId="0" xfId="0" applyFont="1" applyFill="1" applyBorder="1" applyAlignment="1">
      <alignment horizontal="right" vertical="center" wrapText="1"/>
    </xf>
    <xf numFmtId="0" fontId="83" fillId="0" borderId="0" xfId="0" applyFont="1" applyFill="1" applyBorder="1" applyAlignment="1">
      <alignment vertical="center" wrapText="1"/>
    </xf>
    <xf numFmtId="0" fontId="40" fillId="0" borderId="0" xfId="0" applyFont="1" applyFill="1" applyBorder="1"/>
    <xf numFmtId="166" fontId="2" fillId="14" borderId="9" xfId="2"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xf>
    <xf numFmtId="0" fontId="90" fillId="0" borderId="9" xfId="0" applyFont="1" applyBorder="1" applyAlignment="1">
      <alignment horizontal="center"/>
    </xf>
    <xf numFmtId="0" fontId="2" fillId="0" borderId="0" xfId="0" applyFont="1" applyAlignment="1">
      <alignment vertical="center" wrapText="1"/>
    </xf>
    <xf numFmtId="0" fontId="7" fillId="0" borderId="0" xfId="0" applyFont="1"/>
    <xf numFmtId="0" fontId="27" fillId="4" borderId="0" xfId="0" applyFont="1" applyFill="1" applyAlignment="1">
      <alignment vertical="center"/>
    </xf>
    <xf numFmtId="0" fontId="32" fillId="4" borderId="0" xfId="0" applyFont="1" applyFill="1" applyAlignment="1">
      <alignment horizontal="left" vertical="center"/>
    </xf>
    <xf numFmtId="0" fontId="0" fillId="0" borderId="0" xfId="0"/>
    <xf numFmtId="0" fontId="0" fillId="37" borderId="0" xfId="0" applyFill="1" applyBorder="1"/>
    <xf numFmtId="0" fontId="102" fillId="0" borderId="0" xfId="0" applyFont="1" applyFill="1" applyBorder="1" applyAlignment="1">
      <alignment vertical="center"/>
    </xf>
    <xf numFmtId="166" fontId="0" fillId="12" borderId="9" xfId="2" applyNumberFormat="1" applyFont="1" applyFill="1" applyBorder="1" applyAlignment="1" applyProtection="1">
      <alignment horizontal="center" vertical="center"/>
      <protection locked="0"/>
    </xf>
    <xf numFmtId="0" fontId="27" fillId="37" borderId="0" xfId="0" applyFont="1" applyFill="1"/>
    <xf numFmtId="0" fontId="2" fillId="0" borderId="9" xfId="0" applyFont="1" applyBorder="1" applyAlignment="1">
      <alignment horizontal="center" vertical="center" wrapText="1"/>
    </xf>
    <xf numFmtId="0" fontId="0" fillId="0" borderId="0" xfId="0" applyAlignment="1">
      <alignment horizontal="right"/>
    </xf>
    <xf numFmtId="0" fontId="40" fillId="0" borderId="0" xfId="0" applyFont="1"/>
    <xf numFmtId="0" fontId="0" fillId="14" borderId="9" xfId="0" applyFill="1" applyBorder="1"/>
    <xf numFmtId="0" fontId="7" fillId="0" borderId="0" xfId="0" applyFont="1"/>
    <xf numFmtId="0" fontId="0" fillId="0" borderId="0" xfId="0"/>
    <xf numFmtId="0" fontId="0" fillId="0" borderId="0" xfId="0" applyAlignment="1">
      <alignment horizontal="left"/>
    </xf>
    <xf numFmtId="0" fontId="7" fillId="9" borderId="9" xfId="0" applyFont="1" applyFill="1" applyBorder="1" applyAlignment="1">
      <alignment horizontal="center" vertical="center" wrapText="1"/>
    </xf>
    <xf numFmtId="166" fontId="7" fillId="9" borderId="9" xfId="2" applyNumberFormat="1" applyFont="1" applyFill="1" applyBorder="1" applyAlignment="1" applyProtection="1">
      <alignment horizontal="center" vertical="center"/>
      <protection locked="0"/>
    </xf>
    <xf numFmtId="0" fontId="0" fillId="14" borderId="9" xfId="0" applyFill="1" applyBorder="1" applyAlignment="1">
      <alignment horizontal="left" vertical="center"/>
    </xf>
    <xf numFmtId="0" fontId="28" fillId="4" borderId="0" xfId="0" applyFont="1" applyFill="1" applyBorder="1" applyAlignment="1">
      <alignment horizontal="right" vertical="center" wrapText="1"/>
    </xf>
    <xf numFmtId="0" fontId="87" fillId="0" borderId="0" xfId="0" applyFont="1" applyFill="1" applyBorder="1" applyAlignment="1">
      <alignment horizontal="left" vertical="top"/>
    </xf>
    <xf numFmtId="166" fontId="0" fillId="0" borderId="0" xfId="2" applyNumberFormat="1" applyFont="1"/>
    <xf numFmtId="166" fontId="0" fillId="38" borderId="9" xfId="2" applyNumberFormat="1" applyFont="1" applyFill="1" applyBorder="1" applyAlignment="1" applyProtection="1">
      <alignment horizontal="center" vertical="center"/>
      <protection locked="0"/>
    </xf>
    <xf numFmtId="0" fontId="12" fillId="14" borderId="9" xfId="0" applyFont="1" applyFill="1" applyBorder="1" applyAlignment="1">
      <alignment horizontal="left"/>
    </xf>
    <xf numFmtId="0" fontId="12" fillId="14" borderId="0" xfId="0" applyFont="1" applyFill="1" applyAlignment="1">
      <alignment horizontal="left"/>
    </xf>
    <xf numFmtId="0" fontId="114" fillId="0" borderId="0" xfId="0" applyFont="1" applyAlignment="1">
      <alignment vertical="center"/>
    </xf>
    <xf numFmtId="0" fontId="112" fillId="0" borderId="0" xfId="0" applyFont="1" applyBorder="1"/>
    <xf numFmtId="0" fontId="0" fillId="0" borderId="9" xfId="0" applyBorder="1"/>
    <xf numFmtId="9" fontId="0" fillId="14" borderId="9" xfId="2" applyFont="1" applyFill="1" applyBorder="1" applyAlignment="1" applyProtection="1">
      <alignment horizontal="center" vertical="center"/>
      <protection locked="0"/>
    </xf>
    <xf numFmtId="0" fontId="2" fillId="0" borderId="9" xfId="0" applyFont="1" applyBorder="1" applyAlignment="1">
      <alignment horizontal="center" vertical="center" wrapText="1"/>
    </xf>
    <xf numFmtId="0" fontId="0" fillId="0" borderId="0" xfId="0" applyAlignment="1">
      <alignment horizontal="right"/>
    </xf>
    <xf numFmtId="0" fontId="40" fillId="0" borderId="0" xfId="0" applyFont="1"/>
    <xf numFmtId="0" fontId="0" fillId="0" borderId="9" xfId="0" applyBorder="1"/>
    <xf numFmtId="0" fontId="0" fillId="0" borderId="0" xfId="0" applyAlignment="1">
      <alignment horizontal="center" wrapText="1"/>
    </xf>
    <xf numFmtId="0" fontId="0" fillId="0" borderId="0" xfId="0" applyAlignment="1">
      <alignment horizontal="left"/>
    </xf>
    <xf numFmtId="0" fontId="41" fillId="0" borderId="0" xfId="0" applyFont="1"/>
    <xf numFmtId="0" fontId="116" fillId="0" borderId="0" xfId="0" applyFont="1" applyAlignment="1">
      <alignment horizontal="left" vertical="top"/>
    </xf>
    <xf numFmtId="0" fontId="117" fillId="0" borderId="0" xfId="0" applyFont="1" applyFill="1" applyAlignment="1">
      <alignment horizontal="left"/>
    </xf>
    <xf numFmtId="0" fontId="117" fillId="0" borderId="0" xfId="0" applyFont="1" applyFill="1" applyBorder="1" applyAlignment="1">
      <alignment horizontal="left"/>
    </xf>
    <xf numFmtId="0" fontId="49" fillId="0" borderId="9" xfId="0" applyFont="1" applyBorder="1" applyAlignment="1">
      <alignment horizontal="left"/>
    </xf>
    <xf numFmtId="0" fontId="41" fillId="0" borderId="9" xfId="0" applyFont="1" applyFill="1" applyBorder="1" applyAlignment="1">
      <alignment horizontal="left"/>
    </xf>
    <xf numFmtId="0" fontId="118" fillId="0" borderId="0" xfId="0" applyFont="1" applyAlignment="1">
      <alignment horizontal="left" vertical="top"/>
    </xf>
    <xf numFmtId="3" fontId="70" fillId="0" borderId="90" xfId="2" applyNumberFormat="1" applyFont="1" applyFill="1" applyBorder="1" applyAlignment="1">
      <alignment horizontal="center" vertical="center" wrapText="1"/>
    </xf>
    <xf numFmtId="166" fontId="70" fillId="0" borderId="90" xfId="2" applyNumberFormat="1" applyFont="1" applyFill="1" applyBorder="1" applyAlignment="1">
      <alignment horizontal="center" vertical="center" wrapText="1"/>
    </xf>
    <xf numFmtId="166" fontId="70" fillId="0" borderId="91" xfId="2" applyNumberFormat="1" applyFont="1" applyFill="1" applyBorder="1" applyAlignment="1">
      <alignment horizontal="center" vertical="center" wrapText="1"/>
    </xf>
    <xf numFmtId="165" fontId="5" fillId="0" borderId="0" xfId="0" applyNumberFormat="1" applyFont="1" applyFill="1" applyBorder="1" applyAlignment="1">
      <alignment horizontal="center" wrapText="1"/>
    </xf>
    <xf numFmtId="165" fontId="72" fillId="12" borderId="0" xfId="0" applyNumberFormat="1" applyFont="1" applyFill="1" applyBorder="1" applyAlignment="1">
      <alignment horizontal="center" wrapText="1"/>
    </xf>
    <xf numFmtId="165" fontId="72" fillId="25" borderId="0" xfId="0" applyNumberFormat="1"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4" xfId="0" applyBorder="1" applyAlignment="1">
      <alignment vertical="center"/>
    </xf>
    <xf numFmtId="166" fontId="0" fillId="0" borderId="99" xfId="2" applyNumberFormat="1" applyFont="1" applyFill="1" applyBorder="1" applyAlignment="1">
      <alignment horizontal="center" vertical="center"/>
    </xf>
    <xf numFmtId="166" fontId="0" fillId="0" borderId="97" xfId="2" applyNumberFormat="1" applyFont="1" applyFill="1" applyBorder="1" applyAlignment="1">
      <alignment horizontal="center" vertical="center"/>
    </xf>
    <xf numFmtId="166" fontId="0" fillId="0" borderId="98" xfId="2" applyNumberFormat="1" applyFont="1" applyFill="1" applyBorder="1" applyAlignment="1">
      <alignment horizontal="center" vertical="center"/>
    </xf>
    <xf numFmtId="0" fontId="2" fillId="0" borderId="8" xfId="0" applyFont="1" applyBorder="1" applyAlignment="1">
      <alignment horizontal="center" vertical="center"/>
    </xf>
    <xf numFmtId="0" fontId="2" fillId="11" borderId="83" xfId="0" applyFont="1" applyFill="1" applyBorder="1" applyAlignment="1">
      <alignment horizontal="center" vertical="center"/>
    </xf>
    <xf numFmtId="0" fontId="2" fillId="11" borderId="84" xfId="0" applyFont="1" applyFill="1" applyBorder="1" applyAlignment="1">
      <alignment horizontal="center" vertical="center"/>
    </xf>
    <xf numFmtId="0" fontId="36" fillId="4" borderId="0" xfId="0" applyFont="1" applyFill="1" applyAlignment="1">
      <alignment vertical="center"/>
    </xf>
    <xf numFmtId="0" fontId="2" fillId="0" borderId="89"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11" borderId="90" xfId="0" applyFont="1" applyFill="1" applyBorder="1" applyAlignment="1">
      <alignment vertical="center"/>
    </xf>
    <xf numFmtId="0" fontId="2" fillId="11" borderId="85" xfId="0" applyFont="1" applyFill="1" applyBorder="1" applyAlignment="1">
      <alignment vertical="center"/>
    </xf>
    <xf numFmtId="0" fontId="2" fillId="11" borderId="85" xfId="0" applyFont="1" applyFill="1" applyBorder="1" applyAlignment="1">
      <alignment horizontal="right" vertical="center"/>
    </xf>
    <xf numFmtId="0" fontId="2" fillId="11" borderId="86" xfId="0" applyFont="1" applyFill="1" applyBorder="1" applyAlignment="1">
      <alignment horizontal="right" vertical="center"/>
    </xf>
    <xf numFmtId="0" fontId="0" fillId="0" borderId="1" xfId="0" applyBorder="1" applyAlignment="1">
      <alignment vertical="center"/>
    </xf>
    <xf numFmtId="0" fontId="11" fillId="0" borderId="89"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6" xfId="0" applyBorder="1" applyAlignment="1">
      <alignment vertical="center"/>
    </xf>
    <xf numFmtId="9" fontId="0" fillId="38" borderId="9" xfId="2" applyFont="1" applyFill="1" applyBorder="1" applyAlignment="1">
      <alignment horizontal="center" vertical="center"/>
    </xf>
    <xf numFmtId="0" fontId="46" fillId="0" borderId="9" xfId="0" applyFont="1" applyFill="1" applyBorder="1" applyAlignment="1">
      <alignment horizontal="center" vertical="center"/>
    </xf>
    <xf numFmtId="0" fontId="2" fillId="14" borderId="0" xfId="0" applyFont="1" applyFill="1" applyBorder="1" applyAlignment="1">
      <alignment horizontal="center" vertical="center"/>
    </xf>
    <xf numFmtId="0" fontId="46" fillId="0" borderId="10" xfId="0" applyFont="1" applyFill="1" applyBorder="1"/>
    <xf numFmtId="9" fontId="0" fillId="0" borderId="0" xfId="2" applyNumberFormat="1" applyFont="1"/>
    <xf numFmtId="9" fontId="0" fillId="0" borderId="9" xfId="2" applyFont="1" applyBorder="1" applyAlignment="1"/>
    <xf numFmtId="0" fontId="40" fillId="0" borderId="0" xfId="0" applyFont="1" applyFill="1" applyAlignment="1">
      <alignment vertical="center"/>
    </xf>
    <xf numFmtId="0" fontId="46" fillId="0" borderId="0" xfId="0" applyFont="1" applyFill="1" applyBorder="1" applyAlignment="1">
      <alignment horizontal="center"/>
    </xf>
    <xf numFmtId="0" fontId="0" fillId="0" borderId="40" xfId="0" applyFont="1" applyFill="1" applyBorder="1"/>
    <xf numFmtId="0" fontId="0" fillId="0" borderId="39" xfId="0" applyFont="1" applyFill="1" applyBorder="1" applyAlignment="1">
      <alignment wrapText="1"/>
    </xf>
    <xf numFmtId="3" fontId="0" fillId="14" borderId="9" xfId="0" applyNumberFormat="1" applyFill="1" applyBorder="1"/>
    <xf numFmtId="164" fontId="0" fillId="14" borderId="9" xfId="1" applyNumberFormat="1" applyFont="1" applyFill="1" applyBorder="1"/>
    <xf numFmtId="0" fontId="119" fillId="0" borderId="0" xfId="0" applyFont="1" applyAlignment="1"/>
    <xf numFmtId="0" fontId="90" fillId="0" borderId="0" xfId="0" applyFont="1"/>
    <xf numFmtId="0" fontId="55" fillId="0" borderId="0" xfId="0" applyFont="1"/>
    <xf numFmtId="0" fontId="114" fillId="0" borderId="0" xfId="0" applyFont="1" applyAlignment="1">
      <alignment vertical="center" wrapText="1"/>
    </xf>
    <xf numFmtId="0" fontId="0" fillId="0" borderId="0" xfId="0" applyAlignment="1">
      <alignment vertical="top"/>
    </xf>
    <xf numFmtId="0" fontId="87" fillId="18" borderId="0" xfId="0" applyFont="1" applyFill="1" applyAlignment="1">
      <alignment vertical="center"/>
    </xf>
    <xf numFmtId="0" fontId="0" fillId="18" borderId="0" xfId="0" applyFill="1"/>
    <xf numFmtId="0" fontId="0" fillId="0" borderId="8" xfId="0" applyBorder="1" applyAlignment="1">
      <alignment horizontal="left" vertical="center" wrapText="1"/>
    </xf>
    <xf numFmtId="0" fontId="0" fillId="0" borderId="12" xfId="0" applyBorder="1" applyAlignment="1">
      <alignment horizontal="left"/>
    </xf>
    <xf numFmtId="0" fontId="27" fillId="12" borderId="0" xfId="0" applyFont="1" applyFill="1"/>
    <xf numFmtId="0" fontId="27" fillId="12" borderId="0" xfId="0" applyFont="1" applyFill="1" applyBorder="1"/>
    <xf numFmtId="0" fontId="0" fillId="12" borderId="0" xfId="0" applyFill="1"/>
    <xf numFmtId="0" fontId="45" fillId="12" borderId="0" xfId="0" applyFont="1" applyFill="1"/>
    <xf numFmtId="0" fontId="0" fillId="12" borderId="0" xfId="0" applyFill="1" applyAlignment="1">
      <alignment wrapText="1"/>
    </xf>
    <xf numFmtId="0" fontId="0" fillId="12" borderId="0" xfId="0" applyFill="1" applyAlignment="1">
      <alignment vertical="center"/>
    </xf>
    <xf numFmtId="168" fontId="104" fillId="12" borderId="0" xfId="0" applyNumberFormat="1" applyFont="1" applyFill="1" applyAlignment="1">
      <alignment horizontal="center" vertical="center"/>
    </xf>
    <xf numFmtId="9" fontId="41" fillId="11" borderId="9" xfId="2" applyFont="1" applyFill="1" applyBorder="1" applyAlignment="1">
      <alignment horizontal="center" vertical="center"/>
    </xf>
    <xf numFmtId="9" fontId="41" fillId="11" borderId="13" xfId="2" applyFont="1" applyFill="1" applyBorder="1" applyAlignment="1">
      <alignment horizontal="center" vertical="center"/>
    </xf>
    <xf numFmtId="9" fontId="0" fillId="11" borderId="9" xfId="2" applyFont="1" applyFill="1" applyBorder="1" applyAlignment="1">
      <alignment horizontal="center" vertical="center"/>
    </xf>
    <xf numFmtId="3" fontId="69" fillId="11" borderId="40" xfId="1" applyNumberFormat="1" applyFont="1" applyFill="1" applyBorder="1" applyAlignment="1">
      <alignment horizontal="center" vertical="center"/>
    </xf>
    <xf numFmtId="3" fontId="46" fillId="11" borderId="41" xfId="0" applyNumberFormat="1" applyFont="1" applyFill="1" applyBorder="1" applyAlignment="1">
      <alignment horizontal="center" vertical="center" wrapText="1"/>
    </xf>
    <xf numFmtId="3" fontId="37" fillId="11" borderId="9" xfId="0" applyNumberFormat="1" applyFont="1" applyFill="1" applyBorder="1" applyAlignment="1">
      <alignment horizontal="center" vertical="center"/>
    </xf>
    <xf numFmtId="9" fontId="46" fillId="11" borderId="9" xfId="2" applyFont="1" applyFill="1" applyBorder="1" applyAlignment="1">
      <alignment wrapText="1"/>
    </xf>
    <xf numFmtId="0" fontId="0" fillId="0" borderId="9" xfId="0" applyBorder="1"/>
    <xf numFmtId="165" fontId="0" fillId="14" borderId="9" xfId="0" applyNumberFormat="1" applyFill="1" applyBorder="1" applyAlignment="1" applyProtection="1">
      <alignment horizontal="center"/>
      <protection locked="0"/>
    </xf>
    <xf numFmtId="166" fontId="0" fillId="14" borderId="9" xfId="0" applyNumberFormat="1" applyFill="1" applyBorder="1" applyAlignment="1" applyProtection="1">
      <alignment horizontal="center" vertical="center"/>
      <protection locked="0"/>
    </xf>
    <xf numFmtId="0" fontId="0" fillId="0" borderId="9" xfId="0" applyBorder="1"/>
    <xf numFmtId="166" fontId="0" fillId="0" borderId="100" xfId="2" applyNumberFormat="1" applyFont="1" applyFill="1" applyBorder="1" applyAlignment="1">
      <alignment horizontal="center" vertical="center"/>
    </xf>
    <xf numFmtId="0" fontId="9" fillId="0" borderId="0" xfId="0" applyFont="1" applyAlignment="1">
      <alignment horizontal="right"/>
    </xf>
    <xf numFmtId="0" fontId="46" fillId="0" borderId="9" xfId="0" applyFont="1" applyBorder="1" applyAlignment="1">
      <alignment horizontal="center" vertical="center" wrapText="1"/>
    </xf>
    <xf numFmtId="0" fontId="0" fillId="0" borderId="0" xfId="0" applyAlignment="1">
      <alignment horizontal="right"/>
    </xf>
    <xf numFmtId="37" fontId="0" fillId="14" borderId="9" xfId="1" applyNumberFormat="1" applyFont="1" applyFill="1" applyBorder="1" applyAlignment="1">
      <alignment horizontal="center" vertical="center"/>
    </xf>
    <xf numFmtId="0" fontId="0" fillId="0" borderId="0" xfId="0" applyAlignment="1">
      <alignment horizontal="left"/>
    </xf>
    <xf numFmtId="0" fontId="2" fillId="0" borderId="9" xfId="0" applyFont="1" applyBorder="1" applyAlignment="1">
      <alignment horizontal="center" vertical="center" wrapText="1"/>
    </xf>
    <xf numFmtId="0" fontId="0" fillId="0" borderId="0" xfId="0" applyAlignment="1">
      <alignment horizontal="right"/>
    </xf>
    <xf numFmtId="0" fontId="49" fillId="0" borderId="0" xfId="0" applyFont="1" applyFill="1" applyBorder="1" applyAlignment="1">
      <alignment horizontal="left" vertical="top" wrapText="1"/>
    </xf>
    <xf numFmtId="165" fontId="36" fillId="17" borderId="9" xfId="0" applyNumberFormat="1" applyFont="1" applyFill="1" applyBorder="1" applyAlignment="1">
      <alignment horizontal="center"/>
    </xf>
    <xf numFmtId="0" fontId="2" fillId="0" borderId="0" xfId="0" applyFont="1" applyAlignment="1">
      <alignment vertical="center"/>
    </xf>
    <xf numFmtId="0" fontId="22" fillId="0" borderId="0" xfId="0" applyFont="1" applyAlignment="1"/>
    <xf numFmtId="0" fontId="24" fillId="17" borderId="0" xfId="0" applyFont="1" applyFill="1" applyAlignment="1">
      <alignment horizontal="left"/>
    </xf>
    <xf numFmtId="0" fontId="87" fillId="0" borderId="0" xfId="0" applyFont="1" applyAlignment="1">
      <alignment horizontal="left" vertical="top"/>
    </xf>
    <xf numFmtId="0" fontId="87" fillId="0" borderId="0" xfId="0" applyFont="1" applyAlignment="1">
      <alignment horizontal="left" vertical="center"/>
    </xf>
    <xf numFmtId="3" fontId="70" fillId="0" borderId="4" xfId="2" applyNumberFormat="1" applyFont="1" applyFill="1" applyBorder="1" applyAlignment="1">
      <alignment horizontal="center" vertical="center" wrapText="1"/>
    </xf>
    <xf numFmtId="0" fontId="9" fillId="8" borderId="0" xfId="0" applyFont="1" applyFill="1" applyAlignment="1">
      <alignment horizontal="left" vertical="center"/>
    </xf>
    <xf numFmtId="3" fontId="9" fillId="8" borderId="0" xfId="0" applyNumberFormat="1" applyFont="1" applyFill="1" applyAlignment="1">
      <alignment vertical="center"/>
    </xf>
    <xf numFmtId="0" fontId="31" fillId="8" borderId="0" xfId="0" applyFont="1" applyFill="1" applyAlignment="1">
      <alignment vertical="center"/>
    </xf>
    <xf numFmtId="164" fontId="9" fillId="8" borderId="0" xfId="0" applyNumberFormat="1" applyFont="1" applyFill="1" applyAlignment="1">
      <alignment vertical="center"/>
    </xf>
    <xf numFmtId="0" fontId="9" fillId="8" borderId="0" xfId="0" applyFont="1" applyFill="1" applyAlignment="1">
      <alignment vertical="center"/>
    </xf>
    <xf numFmtId="0" fontId="2" fillId="0" borderId="9" xfId="0" applyFont="1" applyBorder="1" applyAlignment="1">
      <alignment horizontal="center" vertical="center" wrapText="1"/>
    </xf>
    <xf numFmtId="0" fontId="24" fillId="17" borderId="11" xfId="0" applyFont="1" applyFill="1" applyBorder="1" applyAlignment="1">
      <alignment horizontal="left"/>
    </xf>
    <xf numFmtId="0" fontId="24" fillId="17" borderId="12" xfId="0" applyFont="1" applyFill="1" applyBorder="1" applyAlignment="1">
      <alignment horizontal="left"/>
    </xf>
    <xf numFmtId="0" fontId="24" fillId="17" borderId="10" xfId="0" applyFont="1" applyFill="1" applyBorder="1" applyAlignment="1">
      <alignment horizontal="left"/>
    </xf>
    <xf numFmtId="0" fontId="87" fillId="0" borderId="11" xfId="0" applyFont="1" applyFill="1" applyBorder="1" applyAlignment="1">
      <alignment horizontal="left" vertical="top"/>
    </xf>
    <xf numFmtId="0" fontId="87" fillId="0" borderId="12" xfId="0" applyFont="1" applyFill="1" applyBorder="1" applyAlignment="1">
      <alignment horizontal="left" vertical="top"/>
    </xf>
    <xf numFmtId="0" fontId="87" fillId="0" borderId="10" xfId="0" applyFont="1" applyFill="1" applyBorder="1" applyAlignment="1">
      <alignment horizontal="left" vertical="top"/>
    </xf>
    <xf numFmtId="0" fontId="120" fillId="0" borderId="11" xfId="0" applyFont="1" applyFill="1" applyBorder="1" applyAlignment="1">
      <alignment horizontal="left" vertical="center"/>
    </xf>
    <xf numFmtId="0" fontId="120" fillId="0" borderId="12" xfId="0" applyFont="1" applyFill="1" applyBorder="1" applyAlignment="1">
      <alignment horizontal="left" vertical="center"/>
    </xf>
    <xf numFmtId="0" fontId="120" fillId="0" borderId="10" xfId="0" applyFont="1" applyFill="1" applyBorder="1" applyAlignment="1">
      <alignment horizontal="left" vertical="center"/>
    </xf>
    <xf numFmtId="0" fontId="28" fillId="4" borderId="18" xfId="0" applyFont="1" applyFill="1" applyBorder="1" applyAlignment="1">
      <alignment horizontal="right" vertical="center" wrapText="1"/>
    </xf>
    <xf numFmtId="0" fontId="28" fillId="4" borderId="19" xfId="0" applyFont="1" applyFill="1" applyBorder="1" applyAlignment="1">
      <alignment horizontal="right" vertical="center" wrapText="1"/>
    </xf>
    <xf numFmtId="0" fontId="0" fillId="14" borderId="11" xfId="0" applyFill="1" applyBorder="1" applyAlignment="1" applyProtection="1">
      <alignment horizontal="center" vertical="center"/>
      <protection locked="0"/>
    </xf>
    <xf numFmtId="0" fontId="0" fillId="14" borderId="12" xfId="0" applyFill="1" applyBorder="1" applyAlignment="1" applyProtection="1">
      <alignment horizontal="center" vertical="center"/>
      <protection locked="0"/>
    </xf>
    <xf numFmtId="0" fontId="0" fillId="14" borderId="10" xfId="0" applyFill="1" applyBorder="1" applyAlignment="1" applyProtection="1">
      <alignment horizontal="center" vertical="center"/>
      <protection locked="0"/>
    </xf>
    <xf numFmtId="0" fontId="2" fillId="14" borderId="11" xfId="0" applyFont="1" applyFill="1" applyBorder="1" applyAlignment="1" applyProtection="1">
      <alignment horizontal="center" vertical="center"/>
      <protection locked="0"/>
    </xf>
    <xf numFmtId="0" fontId="2" fillId="14" borderId="12"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0" borderId="8" xfId="0" applyFont="1" applyBorder="1" applyAlignment="1">
      <alignment horizontal="left" vertical="center" wrapText="1"/>
    </xf>
    <xf numFmtId="0" fontId="24" fillId="13" borderId="0" xfId="7" applyFont="1" applyFill="1" applyAlignment="1">
      <alignment horizontal="center" vertical="center" wrapText="1"/>
    </xf>
    <xf numFmtId="0" fontId="0" fillId="14" borderId="1" xfId="0" applyFill="1" applyBorder="1" applyAlignment="1">
      <alignment horizontal="center"/>
    </xf>
    <xf numFmtId="0" fontId="0" fillId="14" borderId="7" xfId="0" applyFill="1" applyBorder="1" applyAlignment="1">
      <alignment horizontal="center"/>
    </xf>
    <xf numFmtId="0" fontId="0" fillId="14" borderId="2" xfId="0" applyFill="1" applyBorder="1" applyAlignment="1">
      <alignment horizontal="center"/>
    </xf>
    <xf numFmtId="0" fontId="0" fillId="14" borderId="3" xfId="0" applyFill="1" applyBorder="1" applyAlignment="1">
      <alignment horizontal="center"/>
    </xf>
    <xf numFmtId="0" fontId="0" fillId="14" borderId="0" xfId="0" applyFill="1" applyBorder="1" applyAlignment="1">
      <alignment horizontal="center"/>
    </xf>
    <xf numFmtId="0" fontId="0" fillId="14" borderId="4" xfId="0" applyFill="1" applyBorder="1" applyAlignment="1">
      <alignment horizontal="center"/>
    </xf>
    <xf numFmtId="0" fontId="0" fillId="14" borderId="5" xfId="0" applyFill="1" applyBorder="1" applyAlignment="1">
      <alignment horizontal="center"/>
    </xf>
    <xf numFmtId="0" fontId="0" fillId="14" borderId="8" xfId="0" applyFill="1" applyBorder="1" applyAlignment="1">
      <alignment horizontal="center"/>
    </xf>
    <xf numFmtId="0" fontId="0" fillId="14" borderId="6" xfId="0" applyFill="1" applyBorder="1" applyAlignment="1">
      <alignment horizontal="center"/>
    </xf>
    <xf numFmtId="0" fontId="82" fillId="0" borderId="0" xfId="0" applyFont="1" applyAlignment="1">
      <alignment horizontal="left" vertical="top" wrapText="1"/>
    </xf>
    <xf numFmtId="0" fontId="24" fillId="17" borderId="3" xfId="0" applyFont="1" applyFill="1" applyBorder="1" applyAlignment="1">
      <alignment horizontal="center"/>
    </xf>
    <xf numFmtId="0" fontId="24" fillId="17" borderId="0" xfId="0" applyFont="1" applyFill="1" applyBorder="1" applyAlignment="1">
      <alignment horizontal="center"/>
    </xf>
    <xf numFmtId="0" fontId="63" fillId="13" borderId="0" xfId="7" applyFont="1" applyFill="1" applyAlignment="1">
      <alignment horizontal="center" vertical="center"/>
    </xf>
    <xf numFmtId="0" fontId="3" fillId="14" borderId="0" xfId="0" applyFont="1" applyFill="1" applyAlignment="1" applyProtection="1">
      <alignment horizontal="center"/>
      <protection locked="0"/>
    </xf>
    <xf numFmtId="0" fontId="0" fillId="0" borderId="0" xfId="0" applyAlignment="1">
      <alignment horizontal="right"/>
    </xf>
    <xf numFmtId="0" fontId="3" fillId="14" borderId="0" xfId="0" applyFont="1" applyFill="1" applyBorder="1" applyAlignment="1" applyProtection="1">
      <alignment horizontal="center"/>
      <protection locked="0"/>
    </xf>
    <xf numFmtId="0" fontId="6" fillId="0" borderId="0" xfId="0" applyFont="1" applyAlignment="1">
      <alignment horizontal="right"/>
    </xf>
    <xf numFmtId="0" fontId="3" fillId="11" borderId="0" xfId="0" applyFont="1" applyFill="1" applyBorder="1" applyAlignment="1" applyProtection="1">
      <alignment horizontal="center"/>
      <protection locked="0"/>
    </xf>
    <xf numFmtId="0" fontId="0" fillId="14" borderId="45" xfId="0" applyFill="1" applyBorder="1" applyAlignment="1">
      <alignment horizontal="center" vertical="center" wrapText="1"/>
    </xf>
    <xf numFmtId="0" fontId="0" fillId="14" borderId="47" xfId="0" applyFill="1" applyBorder="1" applyAlignment="1">
      <alignment horizontal="center" vertical="center" wrapText="1"/>
    </xf>
    <xf numFmtId="0" fontId="0" fillId="14" borderId="46" xfId="0" applyFill="1" applyBorder="1" applyAlignment="1">
      <alignment horizontal="center" vertical="center" wrapText="1"/>
    </xf>
    <xf numFmtId="0" fontId="0" fillId="14" borderId="40"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39" xfId="0" applyFill="1" applyBorder="1" applyAlignment="1">
      <alignment horizontal="center" vertical="center" wrapText="1"/>
    </xf>
    <xf numFmtId="0" fontId="0" fillId="11" borderId="45" xfId="0" applyFill="1" applyBorder="1" applyAlignment="1">
      <alignment horizontal="center" vertical="center" wrapText="1"/>
    </xf>
    <xf numFmtId="0" fontId="0" fillId="11" borderId="47" xfId="0" applyFill="1" applyBorder="1" applyAlignment="1">
      <alignment horizontal="center" vertical="center" wrapText="1"/>
    </xf>
    <xf numFmtId="0" fontId="0" fillId="11" borderId="46" xfId="0" applyFill="1" applyBorder="1" applyAlignment="1">
      <alignment horizontal="center" vertical="center" wrapText="1"/>
    </xf>
    <xf numFmtId="0" fontId="0" fillId="11" borderId="41" xfId="0" applyFill="1" applyBorder="1" applyAlignment="1">
      <alignment horizontal="center" vertical="center" wrapText="1"/>
    </xf>
    <xf numFmtId="0" fontId="0" fillId="11" borderId="42" xfId="0" applyFill="1" applyBorder="1" applyAlignment="1">
      <alignment horizontal="center" vertical="center" wrapText="1"/>
    </xf>
    <xf numFmtId="0" fontId="0" fillId="11" borderId="16" xfId="0" applyFill="1" applyBorder="1" applyAlignment="1">
      <alignment horizontal="center" vertical="center" wrapText="1"/>
    </xf>
    <xf numFmtId="0" fontId="24" fillId="13" borderId="0" xfId="7" applyFont="1" applyFill="1" applyAlignment="1">
      <alignment horizontal="center" vertical="center"/>
    </xf>
    <xf numFmtId="0" fontId="2" fillId="0" borderId="33" xfId="0" applyFont="1" applyBorder="1" applyAlignment="1">
      <alignment wrapText="1"/>
    </xf>
    <xf numFmtId="0" fontId="2" fillId="0" borderId="9" xfId="0" applyFont="1" applyBorder="1" applyAlignment="1">
      <alignment wrapText="1"/>
    </xf>
    <xf numFmtId="0" fontId="7" fillId="0" borderId="9" xfId="0" applyFont="1" applyBorder="1" applyAlignment="1">
      <alignment horizontal="left" vertical="center"/>
    </xf>
    <xf numFmtId="0" fontId="7" fillId="0" borderId="34" xfId="0" applyFont="1" applyBorder="1" applyAlignment="1">
      <alignment horizontal="left" vertical="center"/>
    </xf>
    <xf numFmtId="0" fontId="2" fillId="0" borderId="33" xfId="0" applyFont="1" applyBorder="1" applyAlignment="1">
      <alignment horizontal="left" wrapText="1"/>
    </xf>
    <xf numFmtId="0" fontId="2" fillId="0" borderId="9" xfId="0" applyFont="1" applyBorder="1" applyAlignment="1">
      <alignment horizontal="left" wrapText="1"/>
    </xf>
    <xf numFmtId="0" fontId="2" fillId="0" borderId="35" xfId="0" applyFont="1" applyBorder="1" applyAlignment="1">
      <alignment horizontal="left" wrapText="1"/>
    </xf>
    <xf numFmtId="0" fontId="2" fillId="0" borderId="36" xfId="0" applyFont="1" applyBorder="1" applyAlignment="1">
      <alignment horizontal="left" wrapText="1"/>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36" fillId="17" borderId="50" xfId="0" applyFont="1" applyFill="1" applyBorder="1" applyAlignment="1">
      <alignment horizontal="center" vertical="center" wrapText="1"/>
    </xf>
    <xf numFmtId="0" fontId="36" fillId="17" borderId="48" xfId="0" applyFont="1" applyFill="1" applyBorder="1" applyAlignment="1">
      <alignment horizontal="center" vertical="center" wrapText="1"/>
    </xf>
    <xf numFmtId="0" fontId="36" fillId="17" borderId="70" xfId="0" applyFont="1" applyFill="1" applyBorder="1" applyAlignment="1">
      <alignment horizontal="center" vertical="center" wrapText="1"/>
    </xf>
    <xf numFmtId="0" fontId="36" fillId="17" borderId="30" xfId="0" applyFont="1" applyFill="1" applyBorder="1" applyAlignment="1">
      <alignment horizontal="center" vertical="center" wrapText="1"/>
    </xf>
    <xf numFmtId="0" fontId="36" fillId="17" borderId="15" xfId="0" applyFont="1" applyFill="1" applyBorder="1" applyAlignment="1">
      <alignment horizontal="center" vertical="center" wrapText="1"/>
    </xf>
    <xf numFmtId="0" fontId="2" fillId="0" borderId="67" xfId="0" applyFont="1" applyBorder="1" applyAlignment="1">
      <alignment wrapText="1"/>
    </xf>
    <xf numFmtId="0" fontId="2" fillId="0" borderId="68" xfId="0" applyFont="1" applyBorder="1" applyAlignment="1">
      <alignment wrapText="1"/>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0" xfId="0" applyFont="1" applyAlignment="1">
      <alignment horizontal="left" wrapText="1"/>
    </xf>
    <xf numFmtId="0" fontId="0" fillId="11" borderId="11" xfId="0" applyFill="1" applyBorder="1" applyAlignment="1" applyProtection="1">
      <alignment horizontal="center"/>
      <protection locked="0"/>
    </xf>
    <xf numFmtId="0" fontId="0" fillId="11" borderId="12" xfId="0" applyFill="1" applyBorder="1" applyAlignment="1" applyProtection="1">
      <alignment horizontal="center"/>
      <protection locked="0"/>
    </xf>
    <xf numFmtId="0" fontId="0" fillId="11" borderId="10" xfId="0" applyFill="1" applyBorder="1" applyAlignment="1" applyProtection="1">
      <alignment horizontal="center"/>
      <protection locked="0"/>
    </xf>
    <xf numFmtId="0" fontId="33" fillId="0" borderId="0" xfId="0" applyFont="1" applyAlignment="1">
      <alignment horizontal="left" vertical="top" wrapText="1"/>
    </xf>
    <xf numFmtId="0" fontId="36" fillId="17" borderId="9" xfId="0" applyFont="1" applyFill="1" applyBorder="1" applyAlignment="1">
      <alignment horizontal="left" wrapText="1"/>
    </xf>
    <xf numFmtId="0" fontId="0" fillId="14" borderId="11" xfId="0" applyFill="1" applyBorder="1" applyAlignment="1" applyProtection="1">
      <alignment horizontal="left"/>
      <protection locked="0"/>
    </xf>
    <xf numFmtId="0" fontId="0" fillId="14" borderId="12" xfId="0" applyFill="1" applyBorder="1" applyAlignment="1" applyProtection="1">
      <alignment horizontal="left"/>
      <protection locked="0"/>
    </xf>
    <xf numFmtId="0" fontId="0" fillId="14" borderId="10" xfId="0" applyFill="1" applyBorder="1" applyAlignment="1" applyProtection="1">
      <alignment horizontal="left"/>
      <protection locked="0"/>
    </xf>
    <xf numFmtId="0" fontId="0" fillId="14" borderId="9" xfId="0" applyFill="1" applyBorder="1" applyAlignment="1" applyProtection="1">
      <alignment horizontal="center"/>
      <protection locked="0"/>
    </xf>
    <xf numFmtId="0" fontId="0" fillId="14" borderId="9" xfId="0" applyFill="1" applyBorder="1" applyAlignment="1" applyProtection="1">
      <alignment horizontal="center" vertical="center" wrapText="1"/>
      <protection locked="0"/>
    </xf>
    <xf numFmtId="0" fontId="0" fillId="14" borderId="0" xfId="0" applyFill="1" applyAlignment="1" applyProtection="1">
      <alignment horizontal="center"/>
      <protection locked="0"/>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40" fillId="0" borderId="0" xfId="0" applyFont="1"/>
    <xf numFmtId="0" fontId="45" fillId="13" borderId="0" xfId="7" applyFont="1" applyFill="1" applyAlignment="1">
      <alignment horizontal="center" vertical="center" wrapText="1"/>
    </xf>
    <xf numFmtId="0" fontId="7" fillId="0" borderId="8" xfId="0" applyFont="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0" fontId="0" fillId="14" borderId="9" xfId="0" applyFill="1" applyBorder="1" applyAlignment="1">
      <alignment horizontal="left"/>
    </xf>
    <xf numFmtId="9" fontId="0" fillId="14" borderId="9" xfId="2" applyFont="1" applyFill="1" applyBorder="1" applyAlignment="1">
      <alignment horizontal="center"/>
    </xf>
    <xf numFmtId="0" fontId="111" fillId="0" borderId="0" xfId="0" applyFont="1" applyAlignment="1">
      <alignment horizontal="center" vertical="center" wrapText="1"/>
    </xf>
    <xf numFmtId="0" fontId="111" fillId="0" borderId="8" xfId="0" applyFont="1" applyBorder="1" applyAlignment="1">
      <alignment horizontal="center" vertical="center" wrapText="1"/>
    </xf>
    <xf numFmtId="0" fontId="111" fillId="14" borderId="9" xfId="0" applyFont="1" applyFill="1" applyBorder="1" applyAlignment="1">
      <alignment horizontal="center" vertical="center" wrapText="1"/>
    </xf>
    <xf numFmtId="0" fontId="2" fillId="0" borderId="9" xfId="0" applyFont="1" applyBorder="1"/>
    <xf numFmtId="0" fontId="0" fillId="0" borderId="9" xfId="0" applyBorder="1"/>
    <xf numFmtId="0" fontId="0" fillId="14" borderId="9" xfId="0" applyFill="1" applyBorder="1" applyAlignment="1">
      <alignment horizontal="center"/>
    </xf>
    <xf numFmtId="0" fontId="0" fillId="14" borderId="9" xfId="0" applyFill="1" applyBorder="1"/>
    <xf numFmtId="0" fontId="0" fillId="14" borderId="9" xfId="0" applyFill="1" applyBorder="1" applyAlignment="1">
      <alignment horizontal="center" vertical="center"/>
    </xf>
    <xf numFmtId="9" fontId="0" fillId="14" borderId="9" xfId="2" applyFont="1" applyFill="1" applyBorder="1" applyAlignment="1">
      <alignment horizontal="center" vertical="center"/>
    </xf>
    <xf numFmtId="0" fontId="64" fillId="17" borderId="0" xfId="0" applyFont="1" applyFill="1" applyAlignment="1">
      <alignment horizontal="left"/>
    </xf>
    <xf numFmtId="0" fontId="64" fillId="17" borderId="39" xfId="0" applyFont="1" applyFill="1" applyBorder="1" applyAlignment="1">
      <alignment horizontal="left"/>
    </xf>
    <xf numFmtId="0" fontId="2" fillId="0" borderId="9" xfId="0" applyFont="1" applyBorder="1" applyAlignment="1">
      <alignment horizontal="right" vertical="center" wrapText="1"/>
    </xf>
    <xf numFmtId="0" fontId="0" fillId="0" borderId="11" xfId="0" applyBorder="1" applyAlignment="1">
      <alignment horizontal="right"/>
    </xf>
    <xf numFmtId="0" fontId="0" fillId="0" borderId="10" xfId="0" applyBorder="1" applyAlignment="1">
      <alignment horizontal="right"/>
    </xf>
    <xf numFmtId="0" fontId="0" fillId="0" borderId="9" xfId="0" applyFont="1" applyBorder="1" applyAlignment="1">
      <alignment horizontal="right" vertical="center" wrapText="1"/>
    </xf>
    <xf numFmtId="0" fontId="0" fillId="0" borderId="9" xfId="0" applyBorder="1" applyAlignment="1">
      <alignment horizontal="right"/>
    </xf>
    <xf numFmtId="0" fontId="0" fillId="0" borderId="9" xfId="0" applyBorder="1" applyAlignment="1">
      <alignment horizontal="right" wrapText="1"/>
    </xf>
    <xf numFmtId="0" fontId="24" fillId="4" borderId="66" xfId="0" applyFont="1" applyFill="1" applyBorder="1" applyAlignment="1">
      <alignment horizontal="left"/>
    </xf>
    <xf numFmtId="0" fontId="24" fillId="4" borderId="0" xfId="0" applyFont="1" applyFill="1" applyBorder="1" applyAlignment="1">
      <alignment horizontal="left"/>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32" fillId="13" borderId="0" xfId="7" applyFont="1" applyFill="1" applyAlignment="1">
      <alignment horizontal="center"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56" fillId="0" borderId="26" xfId="0" applyFont="1" applyFill="1" applyBorder="1" applyAlignment="1">
      <alignment horizontal="left" vertical="center" wrapText="1"/>
    </xf>
    <xf numFmtId="0" fontId="0" fillId="2" borderId="9" xfId="0" applyFill="1" applyBorder="1" applyAlignment="1" applyProtection="1">
      <alignment horizontal="center" vertical="center"/>
      <protection locked="0"/>
    </xf>
    <xf numFmtId="0" fontId="24" fillId="4" borderId="77"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36" fillId="4" borderId="77" xfId="0" applyFont="1" applyFill="1" applyBorder="1" applyAlignment="1">
      <alignment horizontal="left" vertical="center" wrapText="1"/>
    </xf>
    <xf numFmtId="0" fontId="36" fillId="4" borderId="0" xfId="0" applyFont="1" applyFill="1" applyBorder="1" applyAlignment="1">
      <alignment horizontal="left" vertical="center" wrapText="1"/>
    </xf>
    <xf numFmtId="0" fontId="0" fillId="0" borderId="9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Alignment="1">
      <alignment horizontal="center"/>
    </xf>
    <xf numFmtId="0" fontId="110" fillId="0" borderId="8" xfId="0" applyFont="1" applyFill="1" applyBorder="1" applyAlignment="1">
      <alignment horizontal="left" vertical="center" wrapText="1"/>
    </xf>
    <xf numFmtId="0" fontId="2" fillId="11" borderId="0" xfId="0" applyFont="1" applyFill="1" applyBorder="1" applyAlignment="1">
      <alignment horizontal="left" vertical="center"/>
    </xf>
    <xf numFmtId="0" fontId="2" fillId="11" borderId="4" xfId="0" applyFont="1" applyFill="1" applyBorder="1" applyAlignment="1">
      <alignment horizontal="left" vertical="center"/>
    </xf>
    <xf numFmtId="0" fontId="64" fillId="17" borderId="13" xfId="0" applyFont="1" applyFill="1" applyBorder="1" applyAlignment="1">
      <alignment horizontal="center" vertical="center" textRotation="90"/>
    </xf>
    <xf numFmtId="0" fontId="64" fillId="17" borderId="92" xfId="0" applyFont="1" applyFill="1" applyBorder="1" applyAlignment="1">
      <alignment horizontal="center" vertical="center" textRotation="90"/>
    </xf>
    <xf numFmtId="0" fontId="64" fillId="17" borderId="27" xfId="0" applyFont="1" applyFill="1" applyBorder="1" applyAlignment="1">
      <alignment horizontal="center" vertical="center" textRotation="90"/>
    </xf>
    <xf numFmtId="0" fontId="2" fillId="11" borderId="1" xfId="0" applyFont="1" applyFill="1" applyBorder="1" applyAlignment="1">
      <alignment horizontal="left" vertical="center" wrapText="1"/>
    </xf>
    <xf numFmtId="0" fontId="2" fillId="11" borderId="7"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1" borderId="3" xfId="0" applyFont="1" applyFill="1" applyBorder="1" applyAlignment="1">
      <alignment horizontal="left" vertical="center" wrapText="1"/>
    </xf>
    <xf numFmtId="0" fontId="2" fillId="11" borderId="0" xfId="0" applyFont="1" applyFill="1" applyBorder="1" applyAlignment="1">
      <alignment horizontal="left" vertical="center" wrapText="1"/>
    </xf>
    <xf numFmtId="0" fontId="2" fillId="11" borderId="4" xfId="0" applyFont="1" applyFill="1" applyBorder="1" applyAlignment="1">
      <alignment horizontal="left" vertical="center" wrapText="1"/>
    </xf>
    <xf numFmtId="0" fontId="0" fillId="0" borderId="97"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0" fillId="0" borderId="8" xfId="0" applyBorder="1" applyAlignment="1">
      <alignment horizontal="center" vertical="center"/>
    </xf>
    <xf numFmtId="0" fontId="31" fillId="0" borderId="0" xfId="0" applyFont="1" applyAlignment="1">
      <alignment horizontal="center"/>
    </xf>
    <xf numFmtId="170" fontId="31" fillId="0" borderId="0" xfId="0" applyNumberFormat="1" applyFont="1" applyAlignment="1">
      <alignment horizontal="left"/>
    </xf>
    <xf numFmtId="0" fontId="7" fillId="0" borderId="7" xfId="0" applyFont="1" applyFill="1" applyBorder="1" applyAlignment="1">
      <alignment horizontal="left" vertical="center"/>
    </xf>
    <xf numFmtId="0" fontId="0" fillId="0" borderId="98"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11" borderId="1" xfId="0" applyFont="1" applyFill="1" applyBorder="1" applyAlignment="1">
      <alignment horizontal="left" vertical="center"/>
    </xf>
    <xf numFmtId="0" fontId="2" fillId="11" borderId="7" xfId="0" applyFont="1" applyFill="1" applyBorder="1" applyAlignment="1">
      <alignment horizontal="left" vertical="center"/>
    </xf>
    <xf numFmtId="0" fontId="2" fillId="11" borderId="89" xfId="0" applyFont="1" applyFill="1" applyBorder="1" applyAlignment="1">
      <alignment horizontal="left" vertical="center"/>
    </xf>
    <xf numFmtId="0" fontId="2" fillId="11" borderId="93" xfId="0" applyFont="1" applyFill="1" applyBorder="1" applyAlignment="1">
      <alignment horizontal="left" vertical="center" wrapText="1"/>
    </xf>
    <xf numFmtId="0" fontId="2" fillId="11" borderId="94" xfId="0" applyFont="1" applyFill="1" applyBorder="1" applyAlignment="1">
      <alignment horizontal="left" vertical="center" wrapText="1"/>
    </xf>
    <xf numFmtId="0" fontId="2" fillId="11" borderId="95" xfId="0" applyFont="1" applyFill="1" applyBorder="1" applyAlignment="1">
      <alignment horizontal="left" vertical="center" wrapText="1"/>
    </xf>
    <xf numFmtId="0" fontId="2" fillId="11" borderId="103" xfId="0" applyFont="1" applyFill="1" applyBorder="1" applyAlignment="1">
      <alignment horizontal="left" vertical="center" wrapText="1"/>
    </xf>
    <xf numFmtId="0" fontId="2" fillId="11" borderId="100" xfId="0" applyFont="1" applyFill="1" applyBorder="1" applyAlignment="1">
      <alignment horizontal="left" vertical="center" wrapText="1"/>
    </xf>
    <xf numFmtId="0" fontId="2" fillId="11" borderId="101" xfId="0" applyFont="1" applyFill="1" applyBorder="1" applyAlignment="1">
      <alignment horizontal="left"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97" xfId="0" applyFill="1" applyBorder="1" applyAlignment="1">
      <alignment horizontal="center" vertical="center" wrapText="1"/>
    </xf>
    <xf numFmtId="9" fontId="0" fillId="0" borderId="7" xfId="2" applyFont="1" applyBorder="1" applyAlignment="1">
      <alignment horizontal="center" vertical="center"/>
    </xf>
    <xf numFmtId="9" fontId="0" fillId="0" borderId="2" xfId="2" applyFont="1" applyBorder="1" applyAlignment="1">
      <alignment horizontal="center" vertical="center"/>
    </xf>
    <xf numFmtId="9" fontId="0" fillId="0" borderId="0" xfId="2" applyFont="1" applyBorder="1" applyAlignment="1">
      <alignment horizontal="center" vertical="center"/>
    </xf>
    <xf numFmtId="9" fontId="0" fillId="0" borderId="4" xfId="2" applyFont="1" applyBorder="1" applyAlignment="1">
      <alignment horizontal="center" vertical="center"/>
    </xf>
    <xf numFmtId="9" fontId="0" fillId="0" borderId="99" xfId="2" applyFont="1" applyBorder="1" applyAlignment="1">
      <alignment horizontal="center" vertical="center"/>
    </xf>
    <xf numFmtId="9" fontId="0" fillId="0" borderId="102" xfId="2" applyFont="1" applyBorder="1" applyAlignment="1">
      <alignment horizontal="center" vertical="center"/>
    </xf>
    <xf numFmtId="0" fontId="2" fillId="0" borderId="103" xfId="0" applyFont="1" applyBorder="1" applyAlignment="1">
      <alignment horizontal="center" vertical="center"/>
    </xf>
    <xf numFmtId="0" fontId="2" fillId="0" borderId="100" xfId="0" applyFont="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2" fillId="11" borderId="3" xfId="0" applyFont="1" applyFill="1" applyBorder="1" applyAlignment="1">
      <alignment horizontal="left"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2" fillId="0" borderId="101" xfId="0" applyFont="1" applyBorder="1" applyAlignment="1">
      <alignment horizontal="center" vertical="center"/>
    </xf>
    <xf numFmtId="0" fontId="0" fillId="0" borderId="6" xfId="0" applyBorder="1" applyAlignment="1">
      <alignment horizontal="center" vertical="center"/>
    </xf>
    <xf numFmtId="0" fontId="0" fillId="0" borderId="8" xfId="0" applyFont="1" applyFill="1" applyBorder="1" applyAlignment="1">
      <alignment horizontal="center" vertical="center" wrapText="1"/>
    </xf>
    <xf numFmtId="0" fontId="0" fillId="0" borderId="103"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08" xfId="0" applyFill="1" applyBorder="1" applyAlignment="1">
      <alignment horizontal="center" vertical="center" wrapText="1"/>
    </xf>
    <xf numFmtId="0" fontId="0" fillId="0" borderId="99" xfId="0" applyFill="1" applyBorder="1" applyAlignment="1">
      <alignment horizontal="center" vertical="center" wrapText="1"/>
    </xf>
    <xf numFmtId="9" fontId="0" fillId="0" borderId="100" xfId="2" applyFont="1" applyBorder="1" applyAlignment="1">
      <alignment horizontal="center" vertical="center"/>
    </xf>
    <xf numFmtId="9" fontId="0" fillId="0" borderId="101" xfId="2" applyFont="1" applyBorder="1" applyAlignment="1">
      <alignment horizontal="center" vertical="center"/>
    </xf>
    <xf numFmtId="0" fontId="2" fillId="0" borderId="64" xfId="0" applyFont="1" applyFill="1" applyBorder="1" applyAlignment="1">
      <alignment horizontal="left" wrapText="1"/>
    </xf>
    <xf numFmtId="0" fontId="2" fillId="11" borderId="9"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5" xfId="0" applyFont="1" applyFill="1" applyBorder="1" applyAlignment="1">
      <alignment horizontal="center" vertical="center" wrapText="1"/>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31" fillId="0" borderId="0" xfId="0" applyFont="1" applyAlignment="1">
      <alignment horizontal="left" vertical="center"/>
    </xf>
    <xf numFmtId="0" fontId="49" fillId="0" borderId="55" xfId="0" applyFont="1" applyFill="1" applyBorder="1" applyAlignment="1">
      <alignment horizontal="left" vertical="top"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9" borderId="56" xfId="0" applyFont="1" applyFill="1" applyBorder="1" applyAlignment="1">
      <alignment horizontal="left" vertical="center" wrapText="1"/>
    </xf>
    <xf numFmtId="0" fontId="2" fillId="9" borderId="57" xfId="0" applyFont="1" applyFill="1" applyBorder="1" applyAlignment="1">
      <alignment horizontal="left" vertical="center" wrapText="1"/>
    </xf>
    <xf numFmtId="0" fontId="49" fillId="9" borderId="55"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09" xfId="0" applyFont="1" applyFill="1" applyBorder="1" applyAlignment="1">
      <alignment horizontal="left" vertical="top" wrapText="1"/>
    </xf>
    <xf numFmtId="0" fontId="49" fillId="9" borderId="0" xfId="0" applyFont="1" applyFill="1" applyBorder="1" applyAlignment="1">
      <alignment horizontal="center" vertical="center" wrapText="1"/>
    </xf>
    <xf numFmtId="0" fontId="46" fillId="0" borderId="9" xfId="0" applyFont="1" applyBorder="1" applyAlignment="1">
      <alignment horizontal="center" vertical="center" wrapText="1"/>
    </xf>
    <xf numFmtId="0" fontId="0" fillId="0" borderId="0" xfId="0" applyFill="1" applyAlignment="1">
      <alignment horizontal="center" vertical="center" wrapText="1"/>
    </xf>
    <xf numFmtId="0" fontId="63" fillId="4" borderId="0" xfId="0" applyFont="1" applyFill="1" applyAlignment="1">
      <alignment horizontal="left" vertical="center"/>
    </xf>
    <xf numFmtId="0" fontId="88" fillId="11" borderId="106" xfId="0" applyFont="1" applyFill="1" applyBorder="1" applyAlignment="1">
      <alignment horizontal="center" vertical="center" wrapText="1"/>
    </xf>
    <xf numFmtId="0" fontId="88" fillId="11" borderId="0" xfId="0" applyFont="1" applyFill="1" applyBorder="1" applyAlignment="1">
      <alignment horizontal="center" vertical="center" wrapText="1"/>
    </xf>
    <xf numFmtId="0" fontId="88" fillId="11" borderId="107" xfId="0" applyFont="1" applyFill="1" applyBorder="1" applyAlignment="1">
      <alignment horizontal="center" vertical="center" wrapText="1"/>
    </xf>
    <xf numFmtId="0" fontId="7" fillId="0" borderId="0" xfId="0" applyFont="1" applyAlignment="1">
      <alignment horizontal="left" vertical="center"/>
    </xf>
    <xf numFmtId="0" fontId="78" fillId="0" borderId="0" xfId="0" applyFont="1" applyAlignment="1">
      <alignment horizontal="center" vertical="center" wrapText="1"/>
    </xf>
    <xf numFmtId="0" fontId="88" fillId="0" borderId="0" xfId="0" applyFont="1" applyAlignment="1">
      <alignment horizontal="center" vertical="center" wrapText="1"/>
    </xf>
    <xf numFmtId="0" fontId="7" fillId="0" borderId="0" xfId="0" applyFont="1" applyFill="1" applyAlignment="1">
      <alignment horizontal="center" vertical="center" wrapText="1"/>
    </xf>
    <xf numFmtId="166" fontId="78" fillId="11" borderId="0" xfId="2" applyNumberFormat="1" applyFont="1" applyFill="1" applyAlignment="1">
      <alignment horizontal="center" vertical="center"/>
    </xf>
    <xf numFmtId="0" fontId="2" fillId="11" borderId="29" xfId="0" applyFont="1" applyFill="1" applyBorder="1" applyAlignment="1">
      <alignment horizontal="center" vertical="center" wrapText="1"/>
    </xf>
    <xf numFmtId="0" fontId="2" fillId="11" borderId="30"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41" fillId="0" borderId="0" xfId="0" applyFont="1" applyFill="1" applyBorder="1" applyAlignment="1">
      <alignment horizontal="left" vertical="center"/>
    </xf>
    <xf numFmtId="0" fontId="41" fillId="0" borderId="39" xfId="0" applyFont="1" applyFill="1" applyBorder="1" applyAlignment="1">
      <alignment horizontal="left" vertical="center"/>
    </xf>
    <xf numFmtId="0" fontId="41" fillId="0" borderId="42" xfId="0" applyFont="1" applyFill="1" applyBorder="1" applyAlignment="1">
      <alignment horizontal="left" vertical="center"/>
    </xf>
    <xf numFmtId="0" fontId="41" fillId="0" borderId="16" xfId="0" applyFont="1" applyFill="1" applyBorder="1" applyAlignment="1">
      <alignment horizontal="left" vertical="center"/>
    </xf>
    <xf numFmtId="0" fontId="24" fillId="17" borderId="0" xfId="0" applyFont="1" applyFill="1" applyAlignment="1">
      <alignment horizontal="center" vertical="center" wrapText="1"/>
    </xf>
    <xf numFmtId="0" fontId="119" fillId="0" borderId="0" xfId="0" applyFont="1" applyAlignment="1">
      <alignment horizontal="center"/>
    </xf>
    <xf numFmtId="0" fontId="3" fillId="0" borderId="80" xfId="0" applyFont="1" applyBorder="1" applyAlignment="1">
      <alignment horizontal="center" vertical="center"/>
    </xf>
    <xf numFmtId="0" fontId="88" fillId="11" borderId="76" xfId="0" applyFont="1" applyFill="1" applyBorder="1" applyAlignment="1">
      <alignment horizontal="center" vertical="center" wrapText="1"/>
    </xf>
    <xf numFmtId="166" fontId="80" fillId="0" borderId="104" xfId="2" applyNumberFormat="1" applyFont="1" applyBorder="1" applyAlignment="1">
      <alignment horizontal="center" vertical="center"/>
    </xf>
    <xf numFmtId="166" fontId="80" fillId="0" borderId="80" xfId="2" applyNumberFormat="1" applyFont="1" applyBorder="1" applyAlignment="1">
      <alignment horizontal="center" vertical="center"/>
    </xf>
    <xf numFmtId="166" fontId="80" fillId="0" borderId="105" xfId="2" applyNumberFormat="1" applyFont="1" applyBorder="1" applyAlignment="1">
      <alignment horizontal="center" vertical="center"/>
    </xf>
    <xf numFmtId="3" fontId="80" fillId="0" borderId="104" xfId="2" applyNumberFormat="1" applyFont="1" applyBorder="1" applyAlignment="1">
      <alignment horizontal="center" vertical="center"/>
    </xf>
    <xf numFmtId="3" fontId="80" fillId="0" borderId="80" xfId="2" applyNumberFormat="1" applyFont="1" applyBorder="1" applyAlignment="1">
      <alignment horizontal="center" vertical="center"/>
    </xf>
    <xf numFmtId="3" fontId="80" fillId="0" borderId="105" xfId="2" applyNumberFormat="1"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4" xfId="0" applyBorder="1" applyAlignment="1">
      <alignment horizontal="center" vertical="center" wrapText="1"/>
    </xf>
    <xf numFmtId="0" fontId="0" fillId="0" borderId="43" xfId="0" applyBorder="1" applyAlignment="1">
      <alignment horizontal="center" vertical="center" wrapText="1"/>
    </xf>
    <xf numFmtId="0" fontId="87" fillId="11" borderId="0" xfId="0" applyFont="1" applyFill="1" applyAlignment="1">
      <alignment horizontal="center" vertical="center"/>
    </xf>
    <xf numFmtId="0" fontId="42" fillId="4" borderId="0" xfId="0" applyFont="1" applyFill="1" applyAlignment="1">
      <alignment horizontal="left" vertical="center" wrapText="1"/>
    </xf>
    <xf numFmtId="0" fontId="42" fillId="4" borderId="81" xfId="0" applyFont="1" applyFill="1" applyBorder="1" applyAlignment="1">
      <alignment horizontal="left" vertical="center" wrapText="1"/>
    </xf>
    <xf numFmtId="0" fontId="97" fillId="0" borderId="0" xfId="0" applyFont="1" applyAlignment="1">
      <alignment horizontal="center" vertical="center" wrapText="1"/>
    </xf>
    <xf numFmtId="0" fontId="63" fillId="17" borderId="0" xfId="0" applyFont="1" applyFill="1" applyAlignment="1">
      <alignment horizontal="center" vertical="center" wrapText="1"/>
    </xf>
    <xf numFmtId="0" fontId="81" fillId="0" borderId="0" xfId="0" applyFont="1" applyAlignment="1">
      <alignment horizontal="left"/>
    </xf>
    <xf numFmtId="3" fontId="66" fillId="4" borderId="0" xfId="0" applyNumberFormat="1" applyFont="1" applyFill="1" applyAlignment="1">
      <alignment horizontal="center" vertical="center" wrapText="1"/>
    </xf>
    <xf numFmtId="0" fontId="12" fillId="12" borderId="0" xfId="0" applyFont="1" applyFill="1" applyAlignment="1">
      <alignment horizontal="left" vertical="center" wrapText="1"/>
    </xf>
    <xf numFmtId="0" fontId="46" fillId="15" borderId="29" xfId="0" applyFont="1" applyFill="1" applyBorder="1" applyAlignment="1">
      <alignment horizontal="center"/>
    </xf>
    <xf numFmtId="0" fontId="46" fillId="15" borderId="30" xfId="0" applyFont="1" applyFill="1" applyBorder="1" applyAlignment="1">
      <alignment horizontal="center"/>
    </xf>
    <xf numFmtId="0" fontId="46" fillId="15" borderId="15" xfId="0" applyFont="1" applyFill="1" applyBorder="1" applyAlignment="1">
      <alignment horizontal="center"/>
    </xf>
    <xf numFmtId="0" fontId="2" fillId="15" borderId="29" xfId="0" applyFont="1" applyFill="1" applyBorder="1" applyAlignment="1">
      <alignment horizontal="center"/>
    </xf>
    <xf numFmtId="0" fontId="2" fillId="15" borderId="42" xfId="0" applyFont="1" applyFill="1" applyBorder="1" applyAlignment="1">
      <alignment horizontal="center"/>
    </xf>
    <xf numFmtId="0" fontId="2" fillId="15" borderId="16" xfId="0" applyFont="1" applyFill="1" applyBorder="1" applyAlignment="1">
      <alignment horizontal="center"/>
    </xf>
    <xf numFmtId="0" fontId="103" fillId="0" borderId="0" xfId="0" applyFont="1" applyAlignment="1">
      <alignment horizontal="center" vertical="center" wrapText="1"/>
    </xf>
    <xf numFmtId="0" fontId="67" fillId="13" borderId="0" xfId="0" applyFont="1" applyFill="1" applyAlignment="1">
      <alignment horizontal="left" vertical="top" wrapText="1"/>
    </xf>
    <xf numFmtId="3" fontId="65" fillId="8" borderId="0" xfId="0" applyNumberFormat="1" applyFont="1" applyFill="1" applyAlignment="1">
      <alignment horizontal="right" wrapText="1"/>
    </xf>
    <xf numFmtId="0" fontId="67" fillId="8" borderId="0" xfId="0" applyFont="1" applyFill="1" applyAlignment="1">
      <alignment horizontal="right" vertical="top" wrapText="1"/>
    </xf>
    <xf numFmtId="3" fontId="65" fillId="14" borderId="0" xfId="0" applyNumberFormat="1" applyFont="1" applyFill="1" applyAlignment="1">
      <alignment horizontal="left"/>
    </xf>
    <xf numFmtId="0" fontId="67" fillId="14" borderId="0" xfId="0" applyFont="1" applyFill="1" applyAlignment="1">
      <alignment horizontal="left" vertical="top"/>
    </xf>
    <xf numFmtId="3" fontId="65" fillId="13" borderId="0" xfId="0" applyNumberFormat="1" applyFont="1" applyFill="1" applyAlignment="1">
      <alignment horizontal="left"/>
    </xf>
    <xf numFmtId="0" fontId="45" fillId="4" borderId="0" xfId="0" applyFont="1" applyFill="1" applyAlignment="1">
      <alignment horizontal="center" vertical="top" wrapText="1"/>
    </xf>
    <xf numFmtId="0" fontId="45" fillId="4" borderId="0" xfId="0" applyFont="1" applyFill="1" applyAlignment="1">
      <alignment horizontal="left" vertical="center"/>
    </xf>
    <xf numFmtId="164" fontId="46" fillId="15" borderId="29" xfId="0" applyNumberFormat="1" applyFont="1" applyFill="1" applyBorder="1" applyAlignment="1">
      <alignment horizontal="left" vertical="center" wrapText="1"/>
    </xf>
    <xf numFmtId="164" fontId="46" fillId="15" borderId="30" xfId="0" applyNumberFormat="1" applyFont="1" applyFill="1" applyBorder="1" applyAlignment="1">
      <alignment horizontal="left" vertical="center" wrapText="1"/>
    </xf>
    <xf numFmtId="164" fontId="46" fillId="15" borderId="15" xfId="0" applyNumberFormat="1" applyFont="1" applyFill="1" applyBorder="1" applyAlignment="1">
      <alignment horizontal="left" vertical="center" wrapText="1"/>
    </xf>
    <xf numFmtId="3" fontId="51" fillId="0" borderId="0" xfId="0" applyNumberFormat="1" applyFont="1" applyBorder="1" applyAlignment="1">
      <alignment horizontal="center" vertical="center"/>
    </xf>
    <xf numFmtId="0" fontId="40" fillId="0" borderId="0" xfId="0" applyFont="1" applyBorder="1" applyAlignment="1">
      <alignment horizontal="right" vertical="center" wrapText="1"/>
    </xf>
    <xf numFmtId="0" fontId="40" fillId="0" borderId="0" xfId="0" applyFont="1" applyBorder="1" applyAlignment="1">
      <alignment horizontal="left" vertical="center" wrapText="1"/>
    </xf>
    <xf numFmtId="0" fontId="39" fillId="0" borderId="27" xfId="0" applyFont="1" applyFill="1" applyBorder="1" applyAlignment="1">
      <alignment horizontal="left" vertical="center" wrapText="1"/>
    </xf>
    <xf numFmtId="0" fontId="0" fillId="0" borderId="0" xfId="0" applyAlignment="1">
      <alignment horizontal="left"/>
    </xf>
    <xf numFmtId="168" fontId="104" fillId="0" borderId="0" xfId="0" applyNumberFormat="1" applyFont="1" applyAlignment="1">
      <alignment horizontal="center" vertical="center"/>
    </xf>
    <xf numFmtId="0" fontId="103" fillId="0" borderId="0" xfId="0" applyFont="1" applyFill="1" applyAlignment="1">
      <alignment horizontal="center" vertical="center" wrapText="1"/>
    </xf>
    <xf numFmtId="0" fontId="103" fillId="0" borderId="4" xfId="0" applyFont="1" applyFill="1" applyBorder="1" applyAlignment="1">
      <alignment horizontal="center" vertical="center" wrapText="1"/>
    </xf>
    <xf numFmtId="0" fontId="113" fillId="14" borderId="11" xfId="0" applyFont="1" applyFill="1" applyBorder="1" applyAlignment="1">
      <alignment horizontal="center" vertical="center"/>
    </xf>
    <xf numFmtId="0" fontId="113" fillId="14" borderId="12" xfId="0" applyFont="1" applyFill="1" applyBorder="1" applyAlignment="1">
      <alignment horizontal="center" vertical="center"/>
    </xf>
    <xf numFmtId="0" fontId="113" fillId="14" borderId="1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82" xfId="0" applyBorder="1" applyAlignment="1">
      <alignment horizontal="left" vertical="center" wrapText="1"/>
    </xf>
    <xf numFmtId="0" fontId="96" fillId="0" borderId="3"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0" borderId="4" xfId="0" applyFont="1" applyFill="1" applyBorder="1" applyAlignment="1">
      <alignment horizontal="center" vertical="center" wrapText="1"/>
    </xf>
    <xf numFmtId="0" fontId="53" fillId="32" borderId="0" xfId="0" applyFont="1" applyFill="1" applyBorder="1" applyAlignment="1">
      <alignment horizontal="center" vertical="center" wrapText="1"/>
    </xf>
    <xf numFmtId="0" fontId="92" fillId="0" borderId="3"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4" xfId="0" applyFont="1" applyFill="1" applyBorder="1" applyAlignment="1">
      <alignment horizontal="center" vertical="center" wrapText="1"/>
    </xf>
    <xf numFmtId="0" fontId="93" fillId="0" borderId="3" xfId="0" applyFont="1" applyFill="1" applyBorder="1" applyAlignment="1">
      <alignment horizontal="center" vertical="center" wrapText="1"/>
    </xf>
    <xf numFmtId="0" fontId="93" fillId="0" borderId="0" xfId="0" applyFont="1" applyFill="1" applyBorder="1" applyAlignment="1">
      <alignment horizontal="center" vertical="center" wrapText="1"/>
    </xf>
    <xf numFmtId="0" fontId="93" fillId="0" borderId="4"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95" fillId="0" borderId="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4" xfId="0" applyFont="1" applyFill="1" applyBorder="1" applyAlignment="1">
      <alignment horizontal="center" vertical="center" wrapText="1"/>
    </xf>
    <xf numFmtId="0" fontId="94" fillId="0" borderId="3"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4" xfId="0" applyFont="1" applyFill="1" applyBorder="1" applyAlignment="1">
      <alignment horizontal="center" vertical="center" wrapText="1"/>
    </xf>
  </cellXfs>
  <cellStyles count="9">
    <cellStyle name="Comma" xfId="1" builtinId="3"/>
    <cellStyle name="Comma 2" xfId="3" xr:uid="{00000000-0005-0000-0000-000001000000}"/>
    <cellStyle name="Currency 2" xfId="4" xr:uid="{00000000-0005-0000-0000-000002000000}"/>
    <cellStyle name="Hyperlink" xfId="7" builtinId="8"/>
    <cellStyle name="Neutral" xfId="8" builtinId="28"/>
    <cellStyle name="Normal" xfId="0" builtinId="0"/>
    <cellStyle name="Normal 2" xfId="6" xr:uid="{00000000-0005-0000-0000-000006000000}"/>
    <cellStyle name="Percent" xfId="2" builtinId="5"/>
    <cellStyle name="Percent 2" xfId="5" xr:uid="{00000000-0005-0000-0000-000008000000}"/>
  </cellStyles>
  <dxfs count="15">
    <dxf>
      <fill>
        <patternFill>
          <bgColor rgb="FFFFCC66"/>
        </patternFill>
      </fill>
    </dxf>
    <dxf>
      <font>
        <color theme="7"/>
      </font>
      <fill>
        <patternFill>
          <bgColor theme="7"/>
        </patternFill>
      </fill>
    </dxf>
    <dxf>
      <font>
        <color theme="7"/>
      </font>
      <fill>
        <patternFill>
          <bgColor theme="7"/>
        </patternFill>
      </fill>
    </dxf>
    <dxf>
      <font>
        <color theme="7"/>
      </font>
      <fill>
        <patternFill>
          <bgColor theme="7"/>
        </patternFill>
      </fill>
    </dxf>
    <dxf>
      <font>
        <color theme="7"/>
      </font>
      <fill>
        <patternFill>
          <bgColor theme="7"/>
        </patternFill>
      </fill>
    </dxf>
    <dxf>
      <font>
        <color theme="7"/>
      </font>
      <fill>
        <patternFill>
          <bgColor theme="7"/>
        </patternFill>
      </fill>
    </dxf>
    <dxf>
      <font>
        <color theme="7"/>
      </font>
      <fill>
        <patternFill>
          <bgColor theme="7"/>
        </patternFill>
      </fill>
    </dxf>
    <dxf>
      <font>
        <color theme="7"/>
      </font>
      <fill>
        <patternFill>
          <bgColor theme="7"/>
        </patternFill>
      </fill>
    </dxf>
    <dxf>
      <font>
        <color theme="7"/>
      </font>
      <fill>
        <patternFill>
          <bgColor theme="7"/>
        </patternFill>
      </fill>
    </dxf>
    <dxf>
      <font>
        <color theme="7"/>
      </font>
      <fill>
        <patternFill>
          <bgColor theme="7"/>
        </patternFill>
      </fill>
    </dxf>
    <dxf>
      <font>
        <color theme="7"/>
      </font>
      <fill>
        <patternFill>
          <bgColor theme="7"/>
        </patternFill>
      </fill>
    </dxf>
    <dxf>
      <fill>
        <patternFill>
          <bgColor theme="7"/>
        </patternFill>
      </fill>
    </dxf>
    <dxf>
      <font>
        <color auto="1"/>
      </font>
      <fill>
        <patternFill>
          <bgColor theme="7"/>
        </patternFill>
      </fill>
    </dxf>
    <dxf>
      <fill>
        <patternFill>
          <bgColor theme="0" tint="-0.34998626667073579"/>
        </patternFill>
      </fill>
    </dxf>
    <dxf>
      <fill>
        <patternFill>
          <bgColor theme="8"/>
        </patternFill>
      </fill>
    </dxf>
  </dxfs>
  <tableStyles count="0" defaultTableStyle="TableStyleMedium2" defaultPivotStyle="PivotStyleLight16"/>
  <colors>
    <mruColors>
      <color rgb="FF1D4E92"/>
      <color rgb="FF000000"/>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28226421987226"/>
          <c:y val="7.2803654645210159E-2"/>
          <c:w val="0.85526371755311859"/>
          <c:h val="0.68593696196138743"/>
        </c:manualLayout>
      </c:layout>
      <c:barChart>
        <c:barDir val="col"/>
        <c:grouping val="clustered"/>
        <c:varyColors val="0"/>
        <c:ser>
          <c:idx val="0"/>
          <c:order val="0"/>
          <c:spPr>
            <a:solidFill>
              <a:schemeClr val="accent3"/>
            </a:solidFill>
            <a:ln>
              <a:solidFill>
                <a:schemeClr val="bg1"/>
              </a:solidFill>
            </a:ln>
            <a:effectLst/>
          </c:spPr>
          <c:invertIfNegative val="0"/>
          <c:dPt>
            <c:idx val="0"/>
            <c:invertIfNegative val="0"/>
            <c:bubble3D val="0"/>
            <c:spPr>
              <a:solidFill>
                <a:schemeClr val="bg2"/>
              </a:solidFill>
              <a:ln>
                <a:solidFill>
                  <a:schemeClr val="bg1"/>
                </a:solidFill>
              </a:ln>
              <a:effectLst/>
            </c:spPr>
            <c:extLst>
              <c:ext xmlns:c16="http://schemas.microsoft.com/office/drawing/2014/chart" uri="{C3380CC4-5D6E-409C-BE32-E72D297353CC}">
                <c16:uniqueId val="{00000001-C758-44C9-A482-04F6E2037D0B}"/>
              </c:ext>
            </c:extLst>
          </c:dPt>
          <c:dPt>
            <c:idx val="1"/>
            <c:invertIfNegative val="0"/>
            <c:bubble3D val="0"/>
            <c:spPr>
              <a:solidFill>
                <a:schemeClr val="tx2"/>
              </a:solidFill>
              <a:ln>
                <a:solidFill>
                  <a:schemeClr val="bg1"/>
                </a:solidFill>
              </a:ln>
              <a:effectLst/>
            </c:spPr>
            <c:extLst>
              <c:ext xmlns:c16="http://schemas.microsoft.com/office/drawing/2014/chart" uri="{C3380CC4-5D6E-409C-BE32-E72D297353CC}">
                <c16:uniqueId val="{00000003-C758-44C9-A482-04F6E2037D0B}"/>
              </c:ext>
            </c:extLst>
          </c:dPt>
          <c:dPt>
            <c:idx val="2"/>
            <c:invertIfNegative val="0"/>
            <c:bubble3D val="0"/>
            <c:spPr>
              <a:solidFill>
                <a:schemeClr val="accent4"/>
              </a:solidFill>
              <a:ln>
                <a:solidFill>
                  <a:schemeClr val="bg1"/>
                </a:solidFill>
              </a:ln>
              <a:effectLst/>
            </c:spPr>
            <c:extLst>
              <c:ext xmlns:c16="http://schemas.microsoft.com/office/drawing/2014/chart" uri="{C3380CC4-5D6E-409C-BE32-E72D297353CC}">
                <c16:uniqueId val="{00000005-C758-44C9-A482-04F6E2037D0B}"/>
              </c:ext>
            </c:extLst>
          </c:dPt>
          <c:dLbls>
            <c:dLbl>
              <c:idx val="0"/>
              <c:spPr>
                <a:solidFill>
                  <a:srgbClr val="FFFFFF">
                    <a:alpha val="25098"/>
                  </a:srgbClr>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2"/>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C758-44C9-A482-04F6E2037D0B}"/>
                </c:ext>
              </c:extLst>
            </c:dLbl>
            <c:dLbl>
              <c:idx val="1"/>
              <c:spPr>
                <a:solidFill>
                  <a:srgbClr val="FFFFFF">
                    <a:alpha val="25098"/>
                  </a:srgbClr>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C758-44C9-A482-04F6E2037D0B}"/>
                </c:ext>
              </c:extLst>
            </c:dLbl>
            <c:spPr>
              <a:solidFill>
                <a:srgbClr val="FFFFFF">
                  <a:alpha val="25098"/>
                </a:srgbClr>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'Progress Brief'!$Y$31:$Y$32</c:f>
              <c:strCache>
                <c:ptCount val="2"/>
                <c:pt idx="0">
                  <c:v>To reach goal 
(2022 - 2030)</c:v>
                </c:pt>
                <c:pt idx="1">
                  <c:v>Current trend 
(2022 - 2030)</c:v>
                </c:pt>
              </c:strCache>
            </c:strRef>
          </c:cat>
          <c:val>
            <c:numRef>
              <c:f>'Progress Brief'!$Z$31:$Z$32</c:f>
              <c:numCache>
                <c:formatCode>0.0%</c:formatCode>
                <c:ptCount val="2"/>
                <c:pt idx="0">
                  <c:v>#N/A</c:v>
                </c:pt>
                <c:pt idx="1">
                  <c:v>0</c:v>
                </c:pt>
              </c:numCache>
            </c:numRef>
          </c:val>
          <c:extLst>
            <c:ext xmlns:c16="http://schemas.microsoft.com/office/drawing/2014/chart" uri="{C3380CC4-5D6E-409C-BE32-E72D297353CC}">
              <c16:uniqueId val="{00000006-C758-44C9-A482-04F6E2037D0B}"/>
            </c:ext>
          </c:extLst>
        </c:ser>
        <c:dLbls>
          <c:showLegendKey val="0"/>
          <c:showVal val="0"/>
          <c:showCatName val="0"/>
          <c:showSerName val="0"/>
          <c:showPercent val="0"/>
          <c:showBubbleSize val="0"/>
        </c:dLbls>
        <c:gapWidth val="64"/>
        <c:overlap val="-27"/>
        <c:axId val="879217392"/>
        <c:axId val="879216608"/>
      </c:barChart>
      <c:catAx>
        <c:axId val="87921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879216608"/>
        <c:crosses val="autoZero"/>
        <c:auto val="1"/>
        <c:lblAlgn val="ctr"/>
        <c:lblOffset val="100"/>
        <c:noMultiLvlLbl val="0"/>
      </c:catAx>
      <c:valAx>
        <c:axId val="8792166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9217392"/>
        <c:crosses val="autoZero"/>
        <c:crossBetween val="between"/>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'Reviewing Confidence Interval'!$B$6</c:f>
          <c:strCache>
            <c:ptCount val="1"/>
            <c:pt idx="0">
              <c:v>Comparing Modern Contraceptive Prevalence (mCPR)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6050921466367417E-2"/>
          <c:y val="0.18123048123726854"/>
          <c:w val="0.94593935534075224"/>
          <c:h val="0.73692178305791645"/>
        </c:manualLayout>
      </c:layout>
      <c:lineChart>
        <c:grouping val="standard"/>
        <c:varyColors val="0"/>
        <c:ser>
          <c:idx val="0"/>
          <c:order val="0"/>
          <c:tx>
            <c:strRef>
              <c:f>'Reviewing Confidence Interval'!$B$9</c:f>
              <c:strCache>
                <c:ptCount val="1"/>
                <c:pt idx="0">
                  <c:v>Lower Bound (2.5%)</c:v>
                </c:pt>
              </c:strCache>
            </c:strRef>
          </c:tx>
          <c:spPr>
            <a:ln w="31750" cap="rnd">
              <a:solidFill>
                <a:schemeClr val="accent1"/>
              </a:solidFill>
              <a:prstDash val="sysDot"/>
              <a:round/>
            </a:ln>
            <a:effectLst/>
          </c:spPr>
          <c:marker>
            <c:symbol val="none"/>
          </c:marker>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Interval'!$C$9:$U$9</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2-A4B6-42E1-AF30-437CB7E2BC52}"/>
            </c:ext>
          </c:extLst>
        </c:ser>
        <c:ser>
          <c:idx val="1"/>
          <c:order val="1"/>
          <c:tx>
            <c:strRef>
              <c:f>'Reviewing Confidence Interval'!$B$10</c:f>
              <c:strCache>
                <c:ptCount val="1"/>
                <c:pt idx="0">
                  <c:v>Median Estimate (50%)</c:v>
                </c:pt>
              </c:strCache>
            </c:strRef>
          </c:tx>
          <c:spPr>
            <a:ln w="31750" cap="rnd">
              <a:solidFill>
                <a:schemeClr val="tx2"/>
              </a:solidFill>
              <a:prstDash val="solid"/>
              <a:round/>
            </a:ln>
            <a:effectLst/>
          </c:spPr>
          <c:marker>
            <c:symbol val="circle"/>
            <c:size val="20"/>
            <c:spPr>
              <a:solidFill>
                <a:schemeClr val="tx2"/>
              </a:solidFill>
              <a:ln w="12700">
                <a:solidFill>
                  <a:schemeClr val="tx2"/>
                </a:solidFill>
                <a:prstDash val="soli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Interval'!$C$10:$U$10</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4-A4B6-42E1-AF30-437CB7E2BC52}"/>
            </c:ext>
          </c:extLst>
        </c:ser>
        <c:ser>
          <c:idx val="2"/>
          <c:order val="2"/>
          <c:tx>
            <c:strRef>
              <c:f>'Reviewing Confidence Interval'!$B$11</c:f>
              <c:strCache>
                <c:ptCount val="1"/>
                <c:pt idx="0">
                  <c:v>Upper Bound (97.5%)</c:v>
                </c:pt>
              </c:strCache>
            </c:strRef>
          </c:tx>
          <c:spPr>
            <a:ln w="31750" cap="rnd">
              <a:solidFill>
                <a:schemeClr val="accent1"/>
              </a:solidFill>
              <a:prstDash val="sysDot"/>
              <a:round/>
            </a:ln>
            <a:effectLst/>
          </c:spPr>
          <c:marker>
            <c:symbol val="none"/>
          </c:marker>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Interval'!$C$11:$U$11</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6-A4B6-42E1-AF30-437CB7E2BC52}"/>
            </c:ext>
          </c:extLst>
        </c:ser>
        <c:dLbls>
          <c:showLegendKey val="0"/>
          <c:showVal val="0"/>
          <c:showCatName val="0"/>
          <c:showSerName val="0"/>
          <c:showPercent val="0"/>
          <c:showBubbleSize val="0"/>
        </c:dLbls>
        <c:smooth val="0"/>
        <c:axId val="465978552"/>
        <c:axId val="465987736"/>
      </c:lineChart>
      <c:catAx>
        <c:axId val="465978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987736"/>
        <c:crosses val="autoZero"/>
        <c:auto val="1"/>
        <c:lblAlgn val="ctr"/>
        <c:lblOffset val="100"/>
        <c:noMultiLvlLbl val="0"/>
      </c:catAx>
      <c:valAx>
        <c:axId val="465987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978552"/>
        <c:crosses val="autoZero"/>
        <c:crossBetween val="between"/>
      </c:valAx>
    </c:plotArea>
    <c:legend>
      <c:legendPos val="b"/>
      <c:layout>
        <c:manualLayout>
          <c:xMode val="edge"/>
          <c:yMode val="edge"/>
          <c:x val="5.1630138665649618E-2"/>
          <c:y val="5.4186297972054979E-2"/>
          <c:w val="0.13884562839462447"/>
          <c:h val="0.27360469717932423"/>
        </c:manualLayout>
      </c:layout>
      <c:overlay val="0"/>
      <c:spPr>
        <a:solidFill>
          <a:schemeClr val="bg1"/>
        </a:solidFill>
        <a:ln>
          <a:solidFill>
            <a:schemeClr val="tx2"/>
          </a:solid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2"/>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'Reviewing Confidence Interval'!$B$19</c:f>
          <c:strCache>
            <c:ptCount val="1"/>
            <c:pt idx="0">
              <c:v>Comparing Unmet Need for a Modern Method (mUMN)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6050921466367417E-2"/>
          <c:y val="0.25748740587471125"/>
          <c:w val="0.94593935534075224"/>
          <c:h val="0.65760217847506741"/>
        </c:manualLayout>
      </c:layout>
      <c:lineChart>
        <c:grouping val="standard"/>
        <c:varyColors val="0"/>
        <c:ser>
          <c:idx val="0"/>
          <c:order val="0"/>
          <c:tx>
            <c:strRef>
              <c:f>'Reviewing Confidence Interval'!$B$22</c:f>
              <c:strCache>
                <c:ptCount val="1"/>
                <c:pt idx="0">
                  <c:v>Lower Bound (2.5%)</c:v>
                </c:pt>
              </c:strCache>
            </c:strRef>
          </c:tx>
          <c:spPr>
            <a:ln w="31750" cap="rnd">
              <a:solidFill>
                <a:schemeClr val="accent1"/>
              </a:solidFill>
              <a:prstDash val="sysDot"/>
              <a:round/>
            </a:ln>
            <a:effectLst/>
          </c:spPr>
          <c:marker>
            <c:symbol val="none"/>
          </c:marker>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Interval'!$C$22:$U$22</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5-C38F-4956-8F38-039B5C768328}"/>
            </c:ext>
          </c:extLst>
        </c:ser>
        <c:ser>
          <c:idx val="1"/>
          <c:order val="1"/>
          <c:tx>
            <c:strRef>
              <c:f>'Reviewing Confidence Interval'!$B$23</c:f>
              <c:strCache>
                <c:ptCount val="1"/>
                <c:pt idx="0">
                  <c:v>Median Estimate (50%)</c:v>
                </c:pt>
              </c:strCache>
            </c:strRef>
          </c:tx>
          <c:spPr>
            <a:ln w="31750" cap="rnd">
              <a:solidFill>
                <a:schemeClr val="tx2"/>
              </a:solidFill>
              <a:prstDash val="solid"/>
              <a:round/>
            </a:ln>
            <a:effectLst/>
          </c:spPr>
          <c:marker>
            <c:symbol val="circle"/>
            <c:size val="20"/>
            <c:spPr>
              <a:solidFill>
                <a:schemeClr val="tx2"/>
              </a:solidFill>
              <a:ln w="12700">
                <a:solidFill>
                  <a:schemeClr val="tx2"/>
                </a:solidFill>
                <a:prstDash val="soli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Interval'!$C$23:$U$23</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7-C38F-4956-8F38-039B5C768328}"/>
            </c:ext>
          </c:extLst>
        </c:ser>
        <c:ser>
          <c:idx val="2"/>
          <c:order val="2"/>
          <c:tx>
            <c:strRef>
              <c:f>'Reviewing Confidence Interval'!$B$24</c:f>
              <c:strCache>
                <c:ptCount val="1"/>
                <c:pt idx="0">
                  <c:v>Upper Bound (97.5%)</c:v>
                </c:pt>
              </c:strCache>
            </c:strRef>
          </c:tx>
          <c:spPr>
            <a:ln w="31750" cap="rnd">
              <a:solidFill>
                <a:schemeClr val="accent1"/>
              </a:solidFill>
              <a:prstDash val="sysDot"/>
              <a:round/>
            </a:ln>
            <a:effectLst/>
          </c:spPr>
          <c:marker>
            <c:symbol val="none"/>
          </c:marker>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Interval'!$C$24:$U$24</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9-C38F-4956-8F38-039B5C768328}"/>
            </c:ext>
          </c:extLst>
        </c:ser>
        <c:dLbls>
          <c:showLegendKey val="0"/>
          <c:showVal val="0"/>
          <c:showCatName val="0"/>
          <c:showSerName val="0"/>
          <c:showPercent val="0"/>
          <c:showBubbleSize val="0"/>
        </c:dLbls>
        <c:smooth val="0"/>
        <c:axId val="465978552"/>
        <c:axId val="465987736"/>
      </c:lineChart>
      <c:catAx>
        <c:axId val="465978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987736"/>
        <c:crosses val="autoZero"/>
        <c:auto val="1"/>
        <c:lblAlgn val="ctr"/>
        <c:lblOffset val="100"/>
        <c:noMultiLvlLbl val="0"/>
      </c:catAx>
      <c:valAx>
        <c:axId val="465987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978552"/>
        <c:crosses val="autoZero"/>
        <c:crossBetween val="between"/>
      </c:valAx>
    </c:plotArea>
    <c:legend>
      <c:legendPos val="b"/>
      <c:layout>
        <c:manualLayout>
          <c:xMode val="edge"/>
          <c:yMode val="edge"/>
          <c:x val="0.84725591997041005"/>
          <c:y val="1.2193670313133745E-2"/>
          <c:w val="0.13884562839462447"/>
          <c:h val="0.27360469717932423"/>
        </c:manualLayout>
      </c:layout>
      <c:overlay val="0"/>
      <c:spPr>
        <a:solidFill>
          <a:schemeClr val="bg1"/>
        </a:solidFill>
        <a:ln>
          <a:solidFill>
            <a:schemeClr val="tx2"/>
          </a:solid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2"/>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'Reviewing Confidence Interval'!$B$32</c:f>
          <c:strCache>
            <c:ptCount val="1"/>
            <c:pt idx="0">
              <c:v>Comparing Demand Satisfied with a Modern Method (mDS)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6050921466367417E-2"/>
          <c:y val="0.18123048123726854"/>
          <c:w val="0.94593935534075224"/>
          <c:h val="0.73692178305791645"/>
        </c:manualLayout>
      </c:layout>
      <c:lineChart>
        <c:grouping val="standard"/>
        <c:varyColors val="0"/>
        <c:ser>
          <c:idx val="0"/>
          <c:order val="0"/>
          <c:tx>
            <c:strRef>
              <c:f>'Reviewing Confidence Interval'!$B$35</c:f>
              <c:strCache>
                <c:ptCount val="1"/>
                <c:pt idx="0">
                  <c:v>Lower Bound (2.5%)</c:v>
                </c:pt>
              </c:strCache>
            </c:strRef>
          </c:tx>
          <c:spPr>
            <a:ln w="31750" cap="rnd">
              <a:solidFill>
                <a:schemeClr val="accent1"/>
              </a:solidFill>
              <a:prstDash val="sysDot"/>
              <a:round/>
            </a:ln>
            <a:effectLst/>
          </c:spPr>
          <c:marker>
            <c:symbol val="none"/>
          </c:marker>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Interval'!$C$35:$U$35</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0-1AB0-4747-AC3C-6316CC2C2467}"/>
            </c:ext>
          </c:extLst>
        </c:ser>
        <c:ser>
          <c:idx val="1"/>
          <c:order val="1"/>
          <c:tx>
            <c:strRef>
              <c:f>'Reviewing Confidence Interval'!$B$36</c:f>
              <c:strCache>
                <c:ptCount val="1"/>
                <c:pt idx="0">
                  <c:v>Median Estimate (50%)</c:v>
                </c:pt>
              </c:strCache>
            </c:strRef>
          </c:tx>
          <c:spPr>
            <a:ln w="31750" cap="rnd">
              <a:solidFill>
                <a:schemeClr val="tx2"/>
              </a:solidFill>
              <a:prstDash val="solid"/>
              <a:round/>
            </a:ln>
            <a:effectLst/>
          </c:spPr>
          <c:marker>
            <c:symbol val="circle"/>
            <c:size val="20"/>
            <c:spPr>
              <a:solidFill>
                <a:schemeClr val="tx2"/>
              </a:solidFill>
              <a:ln w="12700">
                <a:solidFill>
                  <a:schemeClr val="tx2"/>
                </a:solidFill>
                <a:prstDash val="soli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Interval'!$C$36:$U$36</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1-1AB0-4747-AC3C-6316CC2C2467}"/>
            </c:ext>
          </c:extLst>
        </c:ser>
        <c:ser>
          <c:idx val="2"/>
          <c:order val="2"/>
          <c:tx>
            <c:strRef>
              <c:f>'Reviewing Confidence Interval'!$B$37</c:f>
              <c:strCache>
                <c:ptCount val="1"/>
                <c:pt idx="0">
                  <c:v>Upper Bound (97.5%)</c:v>
                </c:pt>
              </c:strCache>
            </c:strRef>
          </c:tx>
          <c:spPr>
            <a:ln w="31750" cap="rnd">
              <a:solidFill>
                <a:schemeClr val="accent1"/>
              </a:solidFill>
              <a:prstDash val="sysDot"/>
              <a:round/>
            </a:ln>
            <a:effectLst/>
          </c:spPr>
          <c:marker>
            <c:symbol val="none"/>
          </c:marker>
          <c:cat>
            <c:numRef>
              <c:f>'Reviewing Confidence Interval'!$C$8:$U$8</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'Reviewing Confidence Interval'!$C$37:$U$37</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02-1AB0-4747-AC3C-6316CC2C2467}"/>
            </c:ext>
          </c:extLst>
        </c:ser>
        <c:dLbls>
          <c:showLegendKey val="0"/>
          <c:showVal val="0"/>
          <c:showCatName val="0"/>
          <c:showSerName val="0"/>
          <c:showPercent val="0"/>
          <c:showBubbleSize val="0"/>
        </c:dLbls>
        <c:smooth val="0"/>
        <c:axId val="465978552"/>
        <c:axId val="465987736"/>
      </c:lineChart>
      <c:catAx>
        <c:axId val="465978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987736"/>
        <c:crosses val="autoZero"/>
        <c:auto val="1"/>
        <c:lblAlgn val="ctr"/>
        <c:lblOffset val="100"/>
        <c:noMultiLvlLbl val="0"/>
      </c:catAx>
      <c:valAx>
        <c:axId val="465987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978552"/>
        <c:crosses val="autoZero"/>
        <c:crossBetween val="between"/>
      </c:valAx>
      <c:spPr>
        <a:noFill/>
        <a:ln>
          <a:noFill/>
        </a:ln>
        <a:effectLst/>
      </c:spPr>
    </c:plotArea>
    <c:legend>
      <c:legendPos val="b"/>
      <c:layout>
        <c:manualLayout>
          <c:xMode val="edge"/>
          <c:yMode val="edge"/>
          <c:x val="5.1630138665649618E-2"/>
          <c:y val="5.4186297972054979E-2"/>
          <c:w val="0.21267670505811861"/>
          <c:h val="0.27360469717932423"/>
        </c:manualLayout>
      </c:layout>
      <c:overlay val="0"/>
      <c:spPr>
        <a:solidFill>
          <a:schemeClr val="bg1"/>
        </a:solidFill>
        <a:ln>
          <a:solidFill>
            <a:schemeClr val="tx2"/>
          </a:solid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'2019 Report Estimates'!$AP$104</c:f>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'2019 Report Estimates'!$AQ$103:$AY$103</c:f>
              <c:numCache>
                <c:formatCode>General</c:formatCode>
                <c:ptCount val="9"/>
              </c:numCache>
            </c:numRef>
          </c:cat>
          <c:val>
            <c:numRef>
              <c:f>'2019 Report Estimates'!$AQ$104:$AY$104</c:f>
              <c:numCache>
                <c:formatCode>#,##0</c:formatCode>
                <c:ptCount val="9"/>
              </c:numCache>
            </c:numRef>
          </c:val>
          <c:smooth val="0"/>
          <c:extLst>
            <c:ext xmlns:c16="http://schemas.microsoft.com/office/drawing/2014/chart" uri="{C3380CC4-5D6E-409C-BE32-E72D297353CC}">
              <c16:uniqueId val="{00000000-E106-4965-9682-CFA64B60CCF0}"/>
            </c:ext>
          </c:extLst>
        </c:ser>
        <c:ser>
          <c:idx val="1"/>
          <c:order val="1"/>
          <c:tx>
            <c:strRef>
              <c:f>'2019 Report Estimates'!$AP$105</c:f>
              <c:strCache>
                <c:ptCount val="1"/>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'2019 Report Estimates'!$AQ$103:$AY$103</c:f>
              <c:numCache>
                <c:formatCode>General</c:formatCode>
                <c:ptCount val="9"/>
              </c:numCache>
            </c:numRef>
          </c:cat>
          <c:val>
            <c:numRef>
              <c:f>'2019 Report Estimates'!$AQ$105:$AY$105</c:f>
              <c:numCache>
                <c:formatCode>#,##0</c:formatCode>
                <c:ptCount val="9"/>
              </c:numCache>
            </c:numRef>
          </c:val>
          <c:smooth val="0"/>
          <c:extLst>
            <c:ext xmlns:c16="http://schemas.microsoft.com/office/drawing/2014/chart" uri="{C3380CC4-5D6E-409C-BE32-E72D297353CC}">
              <c16:uniqueId val="{00000001-E106-4965-9682-CFA64B60CCF0}"/>
            </c:ext>
          </c:extLst>
        </c:ser>
        <c:ser>
          <c:idx val="2"/>
          <c:order val="2"/>
          <c:tx>
            <c:strRef>
              <c:f>'2019 Report Estimates'!$AP$106</c:f>
              <c:strCache>
                <c:ptCount val="1"/>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'2019 Report Estimates'!$AQ$103:$AY$103</c:f>
              <c:numCache>
                <c:formatCode>General</c:formatCode>
                <c:ptCount val="9"/>
              </c:numCache>
            </c:numRef>
          </c:cat>
          <c:val>
            <c:numRef>
              <c:f>'2019 Report Estimates'!$AQ$106:$AY$106</c:f>
              <c:numCache>
                <c:formatCode>#,##0</c:formatCode>
                <c:ptCount val="9"/>
              </c:numCache>
            </c:numRef>
          </c:val>
          <c:smooth val="0"/>
          <c:extLst>
            <c:ext xmlns:c16="http://schemas.microsoft.com/office/drawing/2014/chart" uri="{C3380CC4-5D6E-409C-BE32-E72D297353CC}">
              <c16:uniqueId val="{00000002-E106-4965-9682-CFA64B60CCF0}"/>
            </c:ext>
          </c:extLst>
        </c:ser>
        <c:dLbls>
          <c:showLegendKey val="0"/>
          <c:showVal val="0"/>
          <c:showCatName val="0"/>
          <c:showSerName val="0"/>
          <c:showPercent val="0"/>
          <c:showBubbleSize val="0"/>
        </c:dLbls>
        <c:marker val="1"/>
        <c:smooth val="0"/>
        <c:axId val="400122912"/>
        <c:axId val="400119632"/>
      </c:lineChart>
      <c:catAx>
        <c:axId val="40012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119632"/>
        <c:crosses val="autoZero"/>
        <c:auto val="1"/>
        <c:lblAlgn val="ctr"/>
        <c:lblOffset val="100"/>
        <c:noMultiLvlLbl val="0"/>
      </c:catAx>
      <c:valAx>
        <c:axId val="400119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12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Highest (PMA w/ Geo Bias)</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9"/>
              <c:pt idx="0">
                <c:v>2012.5</c:v>
              </c:pt>
              <c:pt idx="1">
                <c:v>2013.5</c:v>
              </c:pt>
              <c:pt idx="2">
                <c:v>2014.5</c:v>
              </c:pt>
              <c:pt idx="3">
                <c:v>2015.5</c:v>
              </c:pt>
              <c:pt idx="4">
                <c:v>2016.5</c:v>
              </c:pt>
              <c:pt idx="5">
                <c:v>2017.5</c:v>
              </c:pt>
              <c:pt idx="6">
                <c:v>2018.5</c:v>
              </c:pt>
              <c:pt idx="7">
                <c:v>2019.5</c:v>
              </c:pt>
              <c:pt idx="8">
                <c:v>2020.5</c:v>
              </c:pt>
            </c:numLit>
          </c:cat>
          <c:val>
            <c:numLit>
              <c:formatCode>General</c:formatCode>
              <c:ptCount val="9"/>
              <c:pt idx="0">
                <c:v>0</c:v>
              </c:pt>
              <c:pt idx="1">
                <c:v>75713.516816326417</c:v>
              </c:pt>
              <c:pt idx="2">
                <c:v>702542.20239796117</c:v>
              </c:pt>
              <c:pt idx="3">
                <c:v>1458080.0975510217</c:v>
              </c:pt>
              <c:pt idx="4">
                <c:v>2196178.765714285</c:v>
              </c:pt>
              <c:pt idx="5">
                <c:v>2730200.162142856</c:v>
              </c:pt>
              <c:pt idx="6">
                <c:v>3243515.8768163314</c:v>
              </c:pt>
              <c:pt idx="7">
                <c:v>3834548.778367348</c:v>
              </c:pt>
              <c:pt idx="8">
                <c:v>4452828.1918469388</c:v>
              </c:pt>
            </c:numLit>
          </c:val>
          <c:smooth val="0"/>
          <c:extLst>
            <c:ext xmlns:c16="http://schemas.microsoft.com/office/drawing/2014/chart" uri="{C3380CC4-5D6E-409C-BE32-E72D297353CC}">
              <c16:uniqueId val="{00000000-1B03-4FD6-A216-E14F712C499B}"/>
            </c:ext>
          </c:extLst>
        </c:ser>
        <c:ser>
          <c:idx val="1"/>
          <c:order val="1"/>
          <c:tx>
            <c:v>Lowest (PMA recalculated to account for non-representative sample)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9"/>
              <c:pt idx="0">
                <c:v>2012.5</c:v>
              </c:pt>
              <c:pt idx="1">
                <c:v>2013.5</c:v>
              </c:pt>
              <c:pt idx="2">
                <c:v>2014.5</c:v>
              </c:pt>
              <c:pt idx="3">
                <c:v>2015.5</c:v>
              </c:pt>
              <c:pt idx="4">
                <c:v>2016.5</c:v>
              </c:pt>
              <c:pt idx="5">
                <c:v>2017.5</c:v>
              </c:pt>
              <c:pt idx="6">
                <c:v>2018.5</c:v>
              </c:pt>
              <c:pt idx="7">
                <c:v>2019.5</c:v>
              </c:pt>
              <c:pt idx="8">
                <c:v>2020.5</c:v>
              </c:pt>
            </c:numLit>
          </c:cat>
          <c:val>
            <c:numLit>
              <c:formatCode>General</c:formatCode>
              <c:ptCount val="9"/>
              <c:pt idx="0">
                <c:v>0</c:v>
              </c:pt>
              <c:pt idx="1">
                <c:v>-14167.92446938809</c:v>
              </c:pt>
              <c:pt idx="2">
                <c:v>290011.43862245046</c:v>
              </c:pt>
              <c:pt idx="3">
                <c:v>658014.89785714447</c:v>
              </c:pt>
              <c:pt idx="4">
                <c:v>1036755.6645918367</c:v>
              </c:pt>
              <c:pt idx="5">
                <c:v>1438330.1167346938</c:v>
              </c:pt>
              <c:pt idx="6">
                <c:v>1862553.5412244936</c:v>
              </c:pt>
              <c:pt idx="7">
                <c:v>2307798.8819387769</c:v>
              </c:pt>
              <c:pt idx="8">
                <c:v>2773135.0810714299</c:v>
              </c:pt>
            </c:numLit>
          </c:val>
          <c:smooth val="0"/>
          <c:extLst>
            <c:ext xmlns:c16="http://schemas.microsoft.com/office/drawing/2014/chart" uri="{C3380CC4-5D6E-409C-BE32-E72D297353CC}">
              <c16:uniqueId val="{00000001-1B03-4FD6-A216-E14F712C499B}"/>
            </c:ext>
          </c:extLst>
        </c:ser>
        <c:ser>
          <c:idx val="2"/>
          <c:order val="2"/>
          <c:tx>
            <c:v>Including MICS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9"/>
              <c:pt idx="0">
                <c:v>2012.5</c:v>
              </c:pt>
              <c:pt idx="1">
                <c:v>2013.5</c:v>
              </c:pt>
              <c:pt idx="2">
                <c:v>2014.5</c:v>
              </c:pt>
              <c:pt idx="3">
                <c:v>2015.5</c:v>
              </c:pt>
              <c:pt idx="4">
                <c:v>2016.5</c:v>
              </c:pt>
              <c:pt idx="5">
                <c:v>2017.5</c:v>
              </c:pt>
              <c:pt idx="6">
                <c:v>2018.5</c:v>
              </c:pt>
              <c:pt idx="7">
                <c:v>2019.5</c:v>
              </c:pt>
              <c:pt idx="8">
                <c:v>2020.5</c:v>
              </c:pt>
            </c:numLit>
          </c:cat>
          <c:val>
            <c:numLit>
              <c:formatCode>General</c:formatCode>
              <c:ptCount val="9"/>
              <c:pt idx="0">
                <c:v>0</c:v>
              </c:pt>
              <c:pt idx="1">
                <c:v>31344.617204082198</c:v>
              </c:pt>
              <c:pt idx="2">
                <c:v>520239.79386734869</c:v>
              </c:pt>
              <c:pt idx="3">
                <c:v>1130133.8086224506</c:v>
              </c:pt>
              <c:pt idx="4">
                <c:v>1715119.422244898</c:v>
              </c:pt>
              <c:pt idx="5">
                <c:v>1889584.6010204088</c:v>
              </c:pt>
              <c:pt idx="6">
                <c:v>2378830.5524081672</c:v>
              </c:pt>
              <c:pt idx="7">
                <c:v>2892563.6859795926</c:v>
              </c:pt>
              <c:pt idx="8">
                <c:v>3483686.6096632667</c:v>
              </c:pt>
            </c:numLit>
          </c:val>
          <c:smooth val="0"/>
          <c:extLst>
            <c:ext xmlns:c16="http://schemas.microsoft.com/office/drawing/2014/chart" uri="{C3380CC4-5D6E-409C-BE32-E72D297353CC}">
              <c16:uniqueId val="{00000002-1B03-4FD6-A216-E14F712C499B}"/>
            </c:ext>
          </c:extLst>
        </c:ser>
        <c:dLbls>
          <c:showLegendKey val="0"/>
          <c:showVal val="0"/>
          <c:showCatName val="0"/>
          <c:showSerName val="0"/>
          <c:showPercent val="0"/>
          <c:showBubbleSize val="0"/>
        </c:dLbls>
        <c:marker val="1"/>
        <c:smooth val="0"/>
        <c:axId val="400122912"/>
        <c:axId val="400119632"/>
      </c:lineChart>
      <c:catAx>
        <c:axId val="40012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119632"/>
        <c:crosses val="autoZero"/>
        <c:auto val="1"/>
        <c:lblAlgn val="ctr"/>
        <c:lblOffset val="100"/>
        <c:noMultiLvlLbl val="0"/>
      </c:catAx>
      <c:valAx>
        <c:axId val="400119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12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295419010699931"/>
          <c:y val="6.8792608470235009E-2"/>
          <c:w val="0.58493920525411813"/>
          <c:h val="0.87775628277450624"/>
        </c:manualLayout>
      </c:layout>
      <c:pieChart>
        <c:varyColors val="1"/>
        <c:ser>
          <c:idx val="1"/>
          <c:order val="0"/>
          <c:tx>
            <c:strRef>
              <c:f>'Progress Brief'!$U$74</c:f>
              <c:strCache>
                <c:ptCount val="1"/>
              </c:strCache>
            </c:strRef>
          </c:tx>
          <c:spPr>
            <a:ln>
              <a:solidFill>
                <a:sysClr val="window" lastClr="FFFFFF"/>
              </a:solidFill>
            </a:ln>
          </c:spPr>
          <c:dPt>
            <c:idx val="0"/>
            <c:bubble3D val="0"/>
            <c:spPr>
              <a:solidFill>
                <a:srgbClr val="954F72"/>
              </a:solidFill>
              <a:ln>
                <a:solidFill>
                  <a:sysClr val="window" lastClr="FFFFFF"/>
                </a:solidFill>
              </a:ln>
              <a:effectLst/>
            </c:spPr>
            <c:extLst>
              <c:ext xmlns:c16="http://schemas.microsoft.com/office/drawing/2014/chart" uri="{C3380CC4-5D6E-409C-BE32-E72D297353CC}">
                <c16:uniqueId val="{00000001-4523-4416-ABB6-9F262E843B8C}"/>
              </c:ext>
            </c:extLst>
          </c:dPt>
          <c:dPt>
            <c:idx val="1"/>
            <c:bubble3D val="0"/>
            <c:spPr>
              <a:solidFill>
                <a:srgbClr val="954F72">
                  <a:lumMod val="50000"/>
                </a:srgbClr>
              </a:solidFill>
              <a:ln>
                <a:solidFill>
                  <a:sysClr val="window" lastClr="FFFFFF"/>
                </a:solidFill>
              </a:ln>
              <a:effectLst/>
            </c:spPr>
            <c:extLst>
              <c:ext xmlns:c16="http://schemas.microsoft.com/office/drawing/2014/chart" uri="{C3380CC4-5D6E-409C-BE32-E72D297353CC}">
                <c16:uniqueId val="{00000003-4523-4416-ABB6-9F262E843B8C}"/>
              </c:ext>
            </c:extLst>
          </c:dPt>
          <c:dPt>
            <c:idx val="2"/>
            <c:bubble3D val="0"/>
            <c:spPr>
              <a:solidFill>
                <a:srgbClr val="0B9444"/>
              </a:solidFill>
              <a:ln>
                <a:solidFill>
                  <a:sysClr val="window" lastClr="FFFFFF"/>
                </a:solidFill>
              </a:ln>
              <a:effectLst/>
            </c:spPr>
            <c:extLst>
              <c:ext xmlns:c16="http://schemas.microsoft.com/office/drawing/2014/chart" uri="{C3380CC4-5D6E-409C-BE32-E72D297353CC}">
                <c16:uniqueId val="{00000005-4523-4416-ABB6-9F262E843B8C}"/>
              </c:ext>
            </c:extLst>
          </c:dPt>
          <c:dPt>
            <c:idx val="3"/>
            <c:bubble3D val="0"/>
            <c:spPr>
              <a:solidFill>
                <a:srgbClr val="8DC645"/>
              </a:solidFill>
              <a:ln>
                <a:solidFill>
                  <a:sysClr val="window" lastClr="FFFFFF"/>
                </a:solidFill>
              </a:ln>
              <a:effectLst/>
            </c:spPr>
            <c:extLst>
              <c:ext xmlns:c16="http://schemas.microsoft.com/office/drawing/2014/chart" uri="{C3380CC4-5D6E-409C-BE32-E72D297353CC}">
                <c16:uniqueId val="{00000007-4523-4416-ABB6-9F262E843B8C}"/>
              </c:ext>
            </c:extLst>
          </c:dPt>
          <c:dPt>
            <c:idx val="4"/>
            <c:bubble3D val="0"/>
            <c:spPr>
              <a:solidFill>
                <a:srgbClr val="1D4E92"/>
              </a:solidFill>
              <a:ln>
                <a:solidFill>
                  <a:sysClr val="window" lastClr="FFFFFF"/>
                </a:solidFill>
              </a:ln>
              <a:effectLst/>
            </c:spPr>
            <c:extLst>
              <c:ext xmlns:c16="http://schemas.microsoft.com/office/drawing/2014/chart" uri="{C3380CC4-5D6E-409C-BE32-E72D297353CC}">
                <c16:uniqueId val="{00000009-4523-4416-ABB6-9F262E843B8C}"/>
              </c:ext>
            </c:extLst>
          </c:dPt>
          <c:dPt>
            <c:idx val="5"/>
            <c:bubble3D val="0"/>
            <c:spPr>
              <a:solidFill>
                <a:srgbClr val="3892C6"/>
              </a:solidFill>
              <a:ln>
                <a:solidFill>
                  <a:sysClr val="window" lastClr="FFFFFF"/>
                </a:solidFill>
              </a:ln>
              <a:effectLst/>
            </c:spPr>
            <c:extLst>
              <c:ext xmlns:c16="http://schemas.microsoft.com/office/drawing/2014/chart" uri="{C3380CC4-5D6E-409C-BE32-E72D297353CC}">
                <c16:uniqueId val="{0000000B-4523-4416-ABB6-9F262E843B8C}"/>
              </c:ext>
            </c:extLst>
          </c:dPt>
          <c:dPt>
            <c:idx val="6"/>
            <c:bubble3D val="0"/>
            <c:spPr>
              <a:solidFill>
                <a:srgbClr val="ED7D31"/>
              </a:solidFill>
              <a:ln>
                <a:solidFill>
                  <a:sysClr val="window" lastClr="FFFFFF"/>
                </a:solidFill>
              </a:ln>
              <a:effectLst/>
            </c:spPr>
            <c:extLst>
              <c:ext xmlns:c16="http://schemas.microsoft.com/office/drawing/2014/chart" uri="{C3380CC4-5D6E-409C-BE32-E72D297353CC}">
                <c16:uniqueId val="{0000000D-4523-4416-ABB6-9F262E843B8C}"/>
              </c:ext>
            </c:extLst>
          </c:dPt>
          <c:dPt>
            <c:idx val="7"/>
            <c:bubble3D val="0"/>
            <c:spPr>
              <a:solidFill>
                <a:srgbClr val="FCD116"/>
              </a:solidFill>
              <a:ln>
                <a:solidFill>
                  <a:sysClr val="window" lastClr="FFFFFF"/>
                </a:solidFill>
              </a:ln>
              <a:effectLst/>
            </c:spPr>
            <c:extLst>
              <c:ext xmlns:c16="http://schemas.microsoft.com/office/drawing/2014/chart" uri="{C3380CC4-5D6E-409C-BE32-E72D297353CC}">
                <c16:uniqueId val="{0000000F-4523-4416-ABB6-9F262E843B8C}"/>
              </c:ext>
            </c:extLst>
          </c:dPt>
          <c:dPt>
            <c:idx val="8"/>
            <c:bubble3D val="0"/>
            <c:spPr>
              <a:solidFill>
                <a:srgbClr val="FCD116">
                  <a:lumMod val="60000"/>
                  <a:lumOff val="40000"/>
                </a:srgbClr>
              </a:solidFill>
              <a:ln>
                <a:solidFill>
                  <a:sysClr val="window" lastClr="FFFFFF"/>
                </a:solidFill>
              </a:ln>
              <a:effectLst/>
            </c:spPr>
            <c:extLst>
              <c:ext xmlns:c16="http://schemas.microsoft.com/office/drawing/2014/chart" uri="{C3380CC4-5D6E-409C-BE32-E72D297353CC}">
                <c16:uniqueId val="{00000011-4523-4416-ABB6-9F262E843B8C}"/>
              </c:ext>
            </c:extLst>
          </c:dPt>
          <c:dPt>
            <c:idx val="9"/>
            <c:bubble3D val="0"/>
            <c:spPr>
              <a:solidFill>
                <a:srgbClr val="A5A5A5">
                  <a:lumMod val="75000"/>
                </a:srgbClr>
              </a:solidFill>
              <a:ln>
                <a:solidFill>
                  <a:sysClr val="window" lastClr="FFFFFF"/>
                </a:solidFill>
              </a:ln>
              <a:effectLst/>
            </c:spPr>
            <c:extLst>
              <c:ext xmlns:c16="http://schemas.microsoft.com/office/drawing/2014/chart" uri="{C3380CC4-5D6E-409C-BE32-E72D297353CC}">
                <c16:uniqueId val="{00000013-4523-4416-ABB6-9F262E843B8C}"/>
              </c:ext>
            </c:extLst>
          </c:dPt>
          <c:dPt>
            <c:idx val="10"/>
            <c:bubble3D val="0"/>
            <c:spPr>
              <a:solidFill>
                <a:srgbClr val="A5A5A5">
                  <a:lumMod val="40000"/>
                  <a:lumOff val="60000"/>
                </a:srgbClr>
              </a:solidFill>
              <a:ln>
                <a:solidFill>
                  <a:sysClr val="window" lastClr="FFFFFF"/>
                </a:solidFill>
              </a:ln>
              <a:effectLst/>
            </c:spPr>
            <c:extLst>
              <c:ext xmlns:c16="http://schemas.microsoft.com/office/drawing/2014/chart" uri="{C3380CC4-5D6E-409C-BE32-E72D297353CC}">
                <c16:uniqueId val="{00000015-4523-4416-ABB6-9F262E843B8C}"/>
              </c:ext>
            </c:extLst>
          </c:dPt>
          <c:dLbls>
            <c:spPr>
              <a:solidFill>
                <a:sysClr val="window" lastClr="FFFFFF">
                  <a:alpha val="50000"/>
                </a:sysClr>
              </a:solidFill>
              <a:ln>
                <a:noFill/>
              </a:ln>
              <a:effectLst/>
            </c:spPr>
            <c:txPr>
              <a:bodyPr rot="0" spcFirstLastPara="1" vertOverflow="clip" horzOverflow="clip" vert="horz" wrap="non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'Progress Brief'!$U$76:$AE$76</c:f>
              <c:strCache>
                <c:ptCount val="11"/>
                <c:pt idx="0">
                  <c:v>Female sterilization</c:v>
                </c:pt>
                <c:pt idx="1">
                  <c:v>Male sterilization</c:v>
                </c:pt>
                <c:pt idx="2">
                  <c:v>IUD</c:v>
                </c:pt>
                <c:pt idx="3">
                  <c:v>Implants</c:v>
                </c:pt>
                <c:pt idx="4">
                  <c:v>Injections</c:v>
                </c:pt>
                <c:pt idx="5">
                  <c:v>Pill</c:v>
                </c:pt>
                <c:pt idx="6">
                  <c:v>Male Condom</c:v>
                </c:pt>
                <c:pt idx="7">
                  <c:v>Female Condom</c:v>
                </c:pt>
                <c:pt idx="8">
                  <c:v>LAM</c:v>
                </c:pt>
                <c:pt idx="9">
                  <c:v>Standard Days Method</c:v>
                </c:pt>
                <c:pt idx="10">
                  <c:v>Other modern methods</c:v>
                </c:pt>
              </c:strCache>
            </c:strRef>
          </c:cat>
          <c:val>
            <c:numRef>
              <c:f>'Progress Brief'!$U$78:$AE$78</c:f>
              <c:numCache>
                <c:formatCode>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16-4523-4416-ABB6-9F262E843B8C}"/>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45630964996468E-2"/>
          <c:y val="0.11955707077569437"/>
          <c:w val="0.92804932052639955"/>
          <c:h val="0.72505429840096103"/>
        </c:manualLayout>
      </c:layout>
      <c:lineChart>
        <c:grouping val="standard"/>
        <c:varyColors val="0"/>
        <c:ser>
          <c:idx val="0"/>
          <c:order val="0"/>
          <c:tx>
            <c:strRef>
              <c:f>'Progress Brief'!$U$25</c:f>
              <c:strCache>
                <c:ptCount val="1"/>
                <c:pt idx="0">
                  <c:v>Current *</c:v>
                </c:pt>
              </c:strCache>
            </c:strRef>
          </c:tx>
          <c:spPr>
            <a:ln w="38100" cap="rnd">
              <a:solidFill>
                <a:schemeClr val="tx2"/>
              </a:solidFill>
              <a:round/>
            </a:ln>
            <a:effectLst/>
          </c:spPr>
          <c:marker>
            <c:symbol val="circle"/>
            <c:size val="5"/>
            <c:spPr>
              <a:solidFill>
                <a:schemeClr val="tx2"/>
              </a:solidFill>
              <a:ln w="38100">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[0]!Goal_Year</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[0]!Current_Trend</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8-52F2-4541-A56F-CECBD370BF1D}"/>
            </c:ext>
          </c:extLst>
        </c:ser>
        <c:ser>
          <c:idx val="2"/>
          <c:order val="1"/>
          <c:tx>
            <c:strRef>
              <c:f>'Progress Brief'!$U$26</c:f>
              <c:strCache>
                <c:ptCount val="1"/>
                <c:pt idx="0">
                  <c:v>Goal</c:v>
                </c:pt>
              </c:strCache>
            </c:strRef>
          </c:tx>
          <c:spPr>
            <a:ln w="38100" cap="rnd">
              <a:solidFill>
                <a:schemeClr val="bg2"/>
              </a:solidFill>
              <a:round/>
            </a:ln>
            <a:effectLst/>
          </c:spPr>
          <c:marker>
            <c:symbol val="circle"/>
            <c:size val="5"/>
            <c:spPr>
              <a:solidFill>
                <a:schemeClr val="bg2"/>
              </a:solidFill>
              <a:ln w="38100">
                <a:solidFill>
                  <a:schemeClr val="bg2"/>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F2-4541-A56F-CECBD370BF1D}"/>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F2-4541-A56F-CECBD370BF1D}"/>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F2-4541-A56F-CECBD370BF1D}"/>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2F2-4541-A56F-CECBD370BF1D}"/>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2F2-4541-A56F-CECBD370BF1D}"/>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2F2-4541-A56F-CECBD370BF1D}"/>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2F2-4541-A56F-CECBD370BF1D}"/>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2F2-4541-A56F-CECBD370BF1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[0]!Goal_Year</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[0]!Goal</c:f>
              <c:numCache>
                <c:formatCode>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mooth val="0"/>
          <c:extLst>
            <c:ext xmlns:c16="http://schemas.microsoft.com/office/drawing/2014/chart" uri="{C3380CC4-5D6E-409C-BE32-E72D297353CC}">
              <c16:uniqueId val="{00000011-52F2-4541-A56F-CECBD370BF1D}"/>
            </c:ext>
          </c:extLst>
        </c:ser>
        <c:ser>
          <c:idx val="1"/>
          <c:order val="2"/>
          <c:tx>
            <c:strRef>
              <c:f>'Progress Brief'!$U$27</c:f>
              <c:strCache>
                <c:ptCount val="1"/>
                <c:pt idx="0">
                  <c:v>95% Uncertainty Interval</c:v>
                </c:pt>
              </c:strCache>
            </c:strRef>
          </c:tx>
          <c:spPr>
            <a:ln w="28575" cap="rnd">
              <a:solidFill>
                <a:schemeClr val="accent1"/>
              </a:solidFill>
              <a:prstDash val="sysDot"/>
              <a:round/>
            </a:ln>
            <a:effectLst/>
          </c:spPr>
          <c:marker>
            <c:symbol val="none"/>
          </c:marker>
          <c:cat>
            <c:numRef>
              <c:f>[0]!Goal_Year</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[0]!Lower_Bound</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2180-4313-B2A4-7C87C3E36122}"/>
            </c:ext>
          </c:extLst>
        </c:ser>
        <c:ser>
          <c:idx val="3"/>
          <c:order val="3"/>
          <c:tx>
            <c:strRef>
              <c:f>'Progress Brief'!$U$28</c:f>
              <c:strCache>
                <c:ptCount val="1"/>
                <c:pt idx="0">
                  <c:v>95% Uncertainty Interval</c:v>
                </c:pt>
              </c:strCache>
            </c:strRef>
          </c:tx>
          <c:spPr>
            <a:ln w="28575" cap="rnd">
              <a:solidFill>
                <a:schemeClr val="accent1"/>
              </a:solidFill>
              <a:prstDash val="sysDot"/>
              <a:round/>
            </a:ln>
            <a:effectLst/>
          </c:spPr>
          <c:marker>
            <c:symbol val="none"/>
          </c:marker>
          <c:cat>
            <c:numRef>
              <c:f>[0]!Goal_Year</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[0]!Upper_Bound</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2180-4313-B2A4-7C87C3E36122}"/>
            </c:ext>
          </c:extLst>
        </c:ser>
        <c:dLbls>
          <c:showLegendKey val="0"/>
          <c:showVal val="0"/>
          <c:showCatName val="0"/>
          <c:showSerName val="0"/>
          <c:showPercent val="0"/>
          <c:showBubbleSize val="0"/>
        </c:dLbls>
        <c:marker val="1"/>
        <c:smooth val="0"/>
        <c:axId val="785816120"/>
        <c:axId val="785812984"/>
      </c:lineChart>
      <c:catAx>
        <c:axId val="7858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5812984"/>
        <c:crosses val="autoZero"/>
        <c:auto val="1"/>
        <c:lblAlgn val="ctr"/>
        <c:lblOffset val="100"/>
        <c:noMultiLvlLbl val="0"/>
      </c:catAx>
      <c:valAx>
        <c:axId val="7858129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5816120"/>
        <c:crosses val="autoZero"/>
        <c:crossBetween val="between"/>
      </c:valAx>
      <c:spPr>
        <a:noFill/>
        <a:ln>
          <a:noFill/>
        </a:ln>
        <a:effectLst/>
      </c:spPr>
    </c:plotArea>
    <c:legend>
      <c:legendPos val="t"/>
      <c:legendEntry>
        <c:idx val="3"/>
        <c:delete val="1"/>
      </c:legendEntry>
      <c:layout>
        <c:manualLayout>
          <c:xMode val="edge"/>
          <c:yMode val="edge"/>
          <c:x val="5.6740807603601374E-2"/>
          <c:y val="6.551552605464004E-3"/>
          <c:w val="0.93639772833431001"/>
          <c:h val="0.1085477678138738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Uninteded Pregancies Averted as a result of Modern Contraceptive Use</a:t>
            </a:r>
          </a:p>
        </c:rich>
      </c:tx>
      <c:layout>
        <c:manualLayout>
          <c:xMode val="edge"/>
          <c:yMode val="edge"/>
          <c:x val="0.13395651155273491"/>
          <c:y val="5.572144266893679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'Progress Brief'!$V$171</c:f>
              <c:strCache>
                <c:ptCount val="1"/>
              </c:strCache>
            </c:strRef>
          </c:tx>
          <c:spPr>
            <a:solidFill>
              <a:schemeClr val="tx2">
                <a:lumMod val="50000"/>
              </a:schemeClr>
            </a:solidFill>
            <a:ln>
              <a:solidFill>
                <a:schemeClr val="bg1"/>
              </a:solidFill>
            </a:ln>
            <a:effectLst/>
          </c:spPr>
          <c:val>
            <c:numRef>
              <c:f>'Progress Brief'!$W$171:$AA$171</c:f>
              <c:numCache>
                <c:formatCode>General</c:formatCode>
                <c:ptCount val="5"/>
              </c:numCache>
            </c:numRef>
          </c:val>
          <c:extLst>
            <c:ext xmlns:c15="http://schemas.microsoft.com/office/drawing/2012/chart" uri="{02D57815-91ED-43cb-92C2-25804820EDAC}">
              <c15:filteredCategoryTitle>
                <c15:cat>
                  <c:numRef>
                    <c:extLst>
                      <c:ext uri="{02D57815-91ED-43cb-92C2-25804820EDAC}">
                        <c15:formulaRef>
                          <c15:sqref>'Progress Brief'!$W$170:$AA$170</c15:sqref>
                        </c15:formulaRef>
                      </c:ext>
                    </c:extLst>
                    <c:numCache>
                      <c:formatCode>General</c:formatCode>
                      <c:ptCount val="5"/>
                    </c:numCache>
                  </c:numRef>
                </c15:cat>
              </c15:filteredCategoryTitle>
            </c:ext>
            <c:ext xmlns:c16="http://schemas.microsoft.com/office/drawing/2014/chart" uri="{C3380CC4-5D6E-409C-BE32-E72D297353CC}">
              <c16:uniqueId val="{00000000-0077-4CB8-813A-47D233D4AB2C}"/>
            </c:ext>
          </c:extLst>
        </c:ser>
        <c:ser>
          <c:idx val="1"/>
          <c:order val="1"/>
          <c:tx>
            <c:strRef>
              <c:f>'Progress Brief'!$V$172</c:f>
              <c:strCache>
                <c:ptCount val="1"/>
              </c:strCache>
            </c:strRef>
          </c:tx>
          <c:spPr>
            <a:solidFill>
              <a:schemeClr val="tx2">
                <a:lumMod val="75000"/>
              </a:schemeClr>
            </a:solidFill>
            <a:ln>
              <a:solidFill>
                <a:schemeClr val="bg1"/>
              </a:solidFill>
            </a:ln>
            <a:effectLst/>
          </c:spPr>
          <c:val>
            <c:numRef>
              <c:f>'Progress Brief'!$W$172:$AA$172</c:f>
              <c:numCache>
                <c:formatCode>General</c:formatCode>
                <c:ptCount val="5"/>
              </c:numCache>
            </c:numRef>
          </c:val>
          <c:extLst>
            <c:ext xmlns:c15="http://schemas.microsoft.com/office/drawing/2012/chart" uri="{02D57815-91ED-43cb-92C2-25804820EDAC}">
              <c15:filteredCategoryTitle>
                <c15:cat>
                  <c:numRef>
                    <c:extLst>
                      <c:ext uri="{02D57815-91ED-43cb-92C2-25804820EDAC}">
                        <c15:formulaRef>
                          <c15:sqref>'Progress Brief'!$W$170:$AA$170</c15:sqref>
                        </c15:formulaRef>
                      </c:ext>
                    </c:extLst>
                    <c:numCache>
                      <c:formatCode>General</c:formatCode>
                      <c:ptCount val="5"/>
                    </c:numCache>
                  </c:numRef>
                </c15:cat>
              </c15:filteredCategoryTitle>
            </c:ext>
            <c:ext xmlns:c16="http://schemas.microsoft.com/office/drawing/2014/chart" uri="{C3380CC4-5D6E-409C-BE32-E72D297353CC}">
              <c16:uniqueId val="{00000001-0077-4CB8-813A-47D233D4AB2C}"/>
            </c:ext>
          </c:extLst>
        </c:ser>
        <c:ser>
          <c:idx val="2"/>
          <c:order val="2"/>
          <c:tx>
            <c:strRef>
              <c:f>'Progress Brief'!$V$173</c:f>
              <c:strCache>
                <c:ptCount val="1"/>
              </c:strCache>
            </c:strRef>
          </c:tx>
          <c:spPr>
            <a:solidFill>
              <a:schemeClr val="tx2"/>
            </a:solidFill>
            <a:ln>
              <a:solidFill>
                <a:schemeClr val="bg1"/>
              </a:solidFill>
            </a:ln>
            <a:effectLst/>
          </c:spPr>
          <c:val>
            <c:numRef>
              <c:f>'Progress Brief'!$W$173:$AA$173</c:f>
              <c:numCache>
                <c:formatCode>General</c:formatCode>
                <c:ptCount val="5"/>
              </c:numCache>
            </c:numRef>
          </c:val>
          <c:extLst>
            <c:ext xmlns:c15="http://schemas.microsoft.com/office/drawing/2012/chart" uri="{02D57815-91ED-43cb-92C2-25804820EDAC}">
              <c15:filteredCategoryTitle>
                <c15:cat>
                  <c:numRef>
                    <c:extLst>
                      <c:ext uri="{02D57815-91ED-43cb-92C2-25804820EDAC}">
                        <c15:formulaRef>
                          <c15:sqref>'Progress Brief'!$W$170:$AA$170</c15:sqref>
                        </c15:formulaRef>
                      </c:ext>
                    </c:extLst>
                    <c:numCache>
                      <c:formatCode>General</c:formatCode>
                      <c:ptCount val="5"/>
                    </c:numCache>
                  </c:numRef>
                </c15:cat>
              </c15:filteredCategoryTitle>
            </c:ext>
            <c:ext xmlns:c16="http://schemas.microsoft.com/office/drawing/2014/chart" uri="{C3380CC4-5D6E-409C-BE32-E72D297353CC}">
              <c16:uniqueId val="{00000002-0077-4CB8-813A-47D233D4AB2C}"/>
            </c:ext>
          </c:extLst>
        </c:ser>
        <c:ser>
          <c:idx val="3"/>
          <c:order val="3"/>
          <c:tx>
            <c:strRef>
              <c:f>'Progress Brief'!$V$174</c:f>
              <c:strCache>
                <c:ptCount val="1"/>
              </c:strCache>
            </c:strRef>
          </c:tx>
          <c:spPr>
            <a:solidFill>
              <a:schemeClr val="tx2">
                <a:lumMod val="60000"/>
                <a:lumOff val="40000"/>
              </a:schemeClr>
            </a:solidFill>
            <a:ln>
              <a:solidFill>
                <a:schemeClr val="bg1"/>
              </a:solidFill>
            </a:ln>
            <a:effectLst/>
          </c:spPr>
          <c:val>
            <c:numRef>
              <c:f>'Progress Brief'!$W$174:$AA$174</c:f>
              <c:numCache>
                <c:formatCode>General</c:formatCode>
                <c:ptCount val="5"/>
              </c:numCache>
            </c:numRef>
          </c:val>
          <c:extLst>
            <c:ext xmlns:c15="http://schemas.microsoft.com/office/drawing/2012/chart" uri="{02D57815-91ED-43cb-92C2-25804820EDAC}">
              <c15:filteredCategoryTitle>
                <c15:cat>
                  <c:numRef>
                    <c:extLst>
                      <c:ext uri="{02D57815-91ED-43cb-92C2-25804820EDAC}">
                        <c15:formulaRef>
                          <c15:sqref>'Progress Brief'!$W$170:$AA$170</c15:sqref>
                        </c15:formulaRef>
                      </c:ext>
                    </c:extLst>
                    <c:numCache>
                      <c:formatCode>General</c:formatCode>
                      <c:ptCount val="5"/>
                    </c:numCache>
                  </c:numRef>
                </c15:cat>
              </c15:filteredCategoryTitle>
            </c:ext>
            <c:ext xmlns:c16="http://schemas.microsoft.com/office/drawing/2014/chart" uri="{C3380CC4-5D6E-409C-BE32-E72D297353CC}">
              <c16:uniqueId val="{00000003-0077-4CB8-813A-47D233D4AB2C}"/>
            </c:ext>
          </c:extLst>
        </c:ser>
        <c:ser>
          <c:idx val="4"/>
          <c:order val="4"/>
          <c:tx>
            <c:strRef>
              <c:f>'Progress Brief'!$V$175</c:f>
              <c:strCache>
                <c:ptCount val="1"/>
              </c:strCache>
            </c:strRef>
          </c:tx>
          <c:spPr>
            <a:solidFill>
              <a:schemeClr val="accent1">
                <a:lumMod val="60000"/>
                <a:lumOff val="40000"/>
              </a:schemeClr>
            </a:solidFill>
            <a:ln>
              <a:solidFill>
                <a:schemeClr val="bg1"/>
              </a:solidFill>
            </a:ln>
            <a:effectLst/>
          </c:spPr>
          <c:val>
            <c:numRef>
              <c:f>'Progress Brief'!$W$175:$AA$175</c:f>
              <c:numCache>
                <c:formatCode>General</c:formatCode>
                <c:ptCount val="5"/>
              </c:numCache>
            </c:numRef>
          </c:val>
          <c:extLst>
            <c:ext xmlns:c15="http://schemas.microsoft.com/office/drawing/2012/chart" uri="{02D57815-91ED-43cb-92C2-25804820EDAC}">
              <c15:filteredCategoryTitle>
                <c15:cat>
                  <c:numRef>
                    <c:extLst>
                      <c:ext uri="{02D57815-91ED-43cb-92C2-25804820EDAC}">
                        <c15:formulaRef>
                          <c15:sqref>'Progress Brief'!$W$170:$AA$170</c15:sqref>
                        </c15:formulaRef>
                      </c:ext>
                    </c:extLst>
                    <c:numCache>
                      <c:formatCode>General</c:formatCode>
                      <c:ptCount val="5"/>
                    </c:numCache>
                  </c:numRef>
                </c15:cat>
              </c15:filteredCategoryTitle>
            </c:ext>
            <c:ext xmlns:c16="http://schemas.microsoft.com/office/drawing/2014/chart" uri="{C3380CC4-5D6E-409C-BE32-E72D297353CC}">
              <c16:uniqueId val="{00000004-0077-4CB8-813A-47D233D4AB2C}"/>
            </c:ext>
          </c:extLst>
        </c:ser>
        <c:dLbls>
          <c:showLegendKey val="0"/>
          <c:showVal val="0"/>
          <c:showCatName val="0"/>
          <c:showSerName val="0"/>
          <c:showPercent val="0"/>
          <c:showBubbleSize val="0"/>
        </c:dLbls>
        <c:axId val="785814160"/>
        <c:axId val="816528856"/>
      </c:areaChart>
      <c:catAx>
        <c:axId val="7858141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528856"/>
        <c:crosses val="autoZero"/>
        <c:auto val="1"/>
        <c:lblAlgn val="ctr"/>
        <c:lblOffset val="100"/>
        <c:noMultiLvlLbl val="0"/>
      </c:catAx>
      <c:valAx>
        <c:axId val="816528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8141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2"/>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45630964996468E-2"/>
          <c:y val="0.11955707077569437"/>
          <c:w val="0.92804932052639955"/>
          <c:h val="0.72505429840096103"/>
        </c:manualLayout>
      </c:layout>
      <c:barChart>
        <c:barDir val="col"/>
        <c:grouping val="clustered"/>
        <c:varyColors val="0"/>
        <c:ser>
          <c:idx val="3"/>
          <c:order val="3"/>
          <c:tx>
            <c:strRef>
              <c:f>'Progress Brief'!$U$55</c:f>
              <c:strCache>
                <c:ptCount val="1"/>
              </c:strCache>
            </c:strRef>
          </c:tx>
          <c:spPr>
            <a:solidFill>
              <a:schemeClr val="accent4">
                <a:lumMod val="40000"/>
                <a:lumOff val="60000"/>
                <a:alpha val="50000"/>
              </a:schemeClr>
            </a:solidFill>
          </c:spPr>
          <c:invertIfNegative val="0"/>
          <c:cat>
            <c:numRef>
              <c:f>'Progress Brief'!$V$51:$AN$51</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'Progress Brief'!$V$55:$AN$55</c:f>
              <c:numCache>
                <c:formatCode>General</c:formatCode>
                <c:ptCount val="19"/>
                <c:pt idx="10">
                  <c:v>1</c:v>
                </c:pt>
                <c:pt idx="11">
                  <c:v>1</c:v>
                </c:pt>
                <c:pt idx="12">
                  <c:v>1</c:v>
                </c:pt>
                <c:pt idx="13">
                  <c:v>1</c:v>
                </c:pt>
                <c:pt idx="14">
                  <c:v>1</c:v>
                </c:pt>
                <c:pt idx="15">
                  <c:v>1</c:v>
                </c:pt>
                <c:pt idx="16">
                  <c:v>1</c:v>
                </c:pt>
                <c:pt idx="17">
                  <c:v>1</c:v>
                </c:pt>
                <c:pt idx="18">
                  <c:v>1</c:v>
                </c:pt>
              </c:numCache>
            </c:numRef>
          </c:val>
          <c:extLst>
            <c:ext xmlns:c16="http://schemas.microsoft.com/office/drawing/2014/chart" uri="{C3380CC4-5D6E-409C-BE32-E72D297353CC}">
              <c16:uniqueId val="{00000014-DB3C-4411-9729-2972B22B593D}"/>
            </c:ext>
          </c:extLst>
        </c:ser>
        <c:dLbls>
          <c:showLegendKey val="0"/>
          <c:showVal val="0"/>
          <c:showCatName val="0"/>
          <c:showSerName val="0"/>
          <c:showPercent val="0"/>
          <c:showBubbleSize val="0"/>
        </c:dLbls>
        <c:gapWidth val="0"/>
        <c:axId val="785816120"/>
        <c:axId val="785812984"/>
      </c:barChart>
      <c:lineChart>
        <c:grouping val="standard"/>
        <c:varyColors val="0"/>
        <c:ser>
          <c:idx val="1"/>
          <c:order val="0"/>
          <c:tx>
            <c:strRef>
              <c:f>'Progress Brief'!$U$52</c:f>
              <c:strCache>
                <c:ptCount val="1"/>
                <c:pt idx="0">
                  <c:v>Contraceptive Use (Modern) : All Women</c:v>
                </c:pt>
              </c:strCache>
            </c:strRef>
          </c:tx>
          <c:spPr>
            <a:ln w="28575" cap="rnd">
              <a:solidFill>
                <a:schemeClr val="tx2"/>
              </a:solidFill>
              <a:prstDash val="solid"/>
              <a:round/>
            </a:ln>
            <a:effectLst/>
          </c:spPr>
          <c:marker>
            <c:symbol val="circle"/>
            <c:size val="10"/>
            <c:spPr>
              <a:solidFill>
                <a:schemeClr val="tx2"/>
              </a:solidFill>
              <a:ln>
                <a:solidFill>
                  <a:schemeClr val="tx2"/>
                </a:solidFill>
                <a:prstDash val="solid"/>
              </a:ln>
            </c:spPr>
          </c:marker>
          <c:dLbls>
            <c:spPr>
              <a:noFill/>
              <a:ln>
                <a:noFill/>
              </a:ln>
              <a:effectLst/>
            </c:spPr>
            <c:txPr>
              <a:bodyPr wrap="square" lIns="38100" tIns="19050" rIns="38100" bIns="19050" anchor="ctr">
                <a:spAutoFit/>
              </a:bodyPr>
              <a:lstStyle/>
              <a:p>
                <a:pPr>
                  <a:defRPr sz="1200" b="1">
                    <a:solidFill>
                      <a:schemeClr val="tx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'Progress Brief'!$V$51:$AN$51</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'Progress Brief'!$V$52:$AN$52</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11-DB3C-4411-9729-2972B22B593D}"/>
            </c:ext>
          </c:extLst>
        </c:ser>
        <c:ser>
          <c:idx val="0"/>
          <c:order val="1"/>
          <c:tx>
            <c:strRef>
              <c:f>'Progress Brief'!$U$53</c:f>
              <c:strCache>
                <c:ptCount val="1"/>
                <c:pt idx="0">
                  <c:v>Unmet Need (Modern) : All Women</c:v>
                </c:pt>
              </c:strCache>
            </c:strRef>
          </c:tx>
          <c:spPr>
            <a:ln w="38100" cap="rnd">
              <a:solidFill>
                <a:schemeClr val="accent3"/>
              </a:solidFill>
              <a:round/>
            </a:ln>
            <a:effectLst/>
          </c:spPr>
          <c:marker>
            <c:symbol val="circle"/>
            <c:size val="10"/>
            <c:spPr>
              <a:solidFill>
                <a:schemeClr val="accent3"/>
              </a:solidFill>
              <a:ln w="38100">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3"/>
                    </a:solidFill>
                    <a:latin typeface="+mn-lt"/>
                    <a:ea typeface="+mn-ea"/>
                    <a:cs typeface="+mn-cs"/>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'Progress Brief'!$V$51:$AN$51</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'Progress Brief'!$V$53:$AN$53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5-DB3C-4411-9729-2972B22B593D}"/>
            </c:ext>
          </c:extLst>
        </c:ser>
        <c:ser>
          <c:idx val="2"/>
          <c:order val="2"/>
          <c:tx>
            <c:strRef>
              <c:f>'Progress Brief'!$U$54</c:f>
              <c:strCache>
                <c:ptCount val="1"/>
                <c:pt idx="0">
                  <c:v>Demand Satisfied (Modern) : All Women</c:v>
                </c:pt>
              </c:strCache>
            </c:strRef>
          </c:tx>
          <c:spPr>
            <a:ln w="38100" cap="rnd">
              <a:solidFill>
                <a:schemeClr val="accent6"/>
              </a:solidFill>
              <a:round/>
            </a:ln>
            <a:effectLst/>
          </c:spPr>
          <c:marker>
            <c:symbol val="circle"/>
            <c:size val="10"/>
            <c:spPr>
              <a:solidFill>
                <a:schemeClr val="accent6"/>
              </a:solidFill>
              <a:ln>
                <a:solidFill>
                  <a:schemeClr val="accent6"/>
                </a:solidFill>
              </a:ln>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3C-4411-9729-2972B22B593D}"/>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3C-4411-9729-2972B22B593D}"/>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3C-4411-9729-2972B22B593D}"/>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3C-4411-9729-2972B22B593D}"/>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3C-4411-9729-2972B22B593D}"/>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3C-4411-9729-2972B22B593D}"/>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B3C-4411-9729-2972B22B593D}"/>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B3C-4411-9729-2972B22B593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solidFill>
                    <a:latin typeface="+mn-lt"/>
                    <a:ea typeface="+mn-ea"/>
                    <a:cs typeface="+mn-cs"/>
                  </a:defRPr>
                </a:pPr>
                <a:endParaRPr lang="en-US"/>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'Progress Brief'!$V$51:$AN$51</c:f>
              <c:numCache>
                <c:formatCode>General</c:formatCode>
                <c:ptCount val="1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numCache>
            </c:numRef>
          </c:cat>
          <c:val>
            <c:numRef>
              <c:f>'Progress Brief'!$V$54:$AN$54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F-DB3C-4411-9729-2972B22B593D}"/>
            </c:ext>
          </c:extLst>
        </c:ser>
        <c:dLbls>
          <c:showLegendKey val="0"/>
          <c:showVal val="0"/>
          <c:showCatName val="0"/>
          <c:showSerName val="0"/>
          <c:showPercent val="0"/>
          <c:showBubbleSize val="0"/>
        </c:dLbls>
        <c:marker val="1"/>
        <c:smooth val="0"/>
        <c:axId val="785816120"/>
        <c:axId val="785812984"/>
      </c:lineChart>
      <c:catAx>
        <c:axId val="7858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5812984"/>
        <c:crosses val="autoZero"/>
        <c:auto val="1"/>
        <c:lblAlgn val="ctr"/>
        <c:lblOffset val="100"/>
        <c:noMultiLvlLbl val="0"/>
      </c:catAx>
      <c:valAx>
        <c:axId val="785812984"/>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5816120"/>
        <c:crosses val="autoZero"/>
        <c:crossBetween val="between"/>
      </c:valAx>
    </c:plotArea>
    <c:legend>
      <c:legendPos val="t"/>
      <c:legendEntry>
        <c:idx val="0"/>
        <c:delete val="1"/>
      </c:legendEntry>
      <c:legendEntry>
        <c:idx val="1"/>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legendEntry>
      <c:legendEntry>
        <c:idx val="2"/>
        <c:txPr>
          <a:bodyPr rot="0" spcFirstLastPara="1" vertOverflow="ellipsis" vert="horz" wrap="square" anchor="ctr" anchorCtr="1"/>
          <a:lstStyle/>
          <a:p>
            <a:pPr>
              <a:defRPr sz="1400" b="1" i="0" u="none" strike="noStrike" kern="1200" baseline="0">
                <a:solidFill>
                  <a:schemeClr val="accent3"/>
                </a:solidFill>
                <a:latin typeface="+mn-lt"/>
                <a:ea typeface="+mn-ea"/>
                <a:cs typeface="+mn-cs"/>
              </a:defRPr>
            </a:pPr>
            <a:endParaRPr lang="en-US"/>
          </a:p>
        </c:txPr>
      </c:legendEntry>
      <c:legendEntry>
        <c:idx val="3"/>
        <c:txPr>
          <a:bodyPr rot="0" spcFirstLastPara="1" vertOverflow="ellipsis" vert="horz" wrap="square" anchor="ctr" anchorCtr="1"/>
          <a:lstStyle/>
          <a:p>
            <a:pPr>
              <a:defRPr sz="1400" b="1" i="0" u="none" strike="noStrike" kern="1200" baseline="0">
                <a:solidFill>
                  <a:schemeClr val="accent6"/>
                </a:solidFill>
                <a:latin typeface="+mn-lt"/>
                <a:ea typeface="+mn-ea"/>
                <a:cs typeface="+mn-cs"/>
              </a:defRPr>
            </a:pPr>
            <a:endParaRPr lang="en-US"/>
          </a:p>
        </c:txPr>
      </c:legendEntry>
      <c:layout>
        <c:manualLayout>
          <c:xMode val="edge"/>
          <c:yMode val="edge"/>
          <c:x val="5.6159371723443173E-2"/>
          <c:y val="3.4846867723292096E-2"/>
          <c:w val="0.92990890053669062"/>
          <c:h val="9.59330285158030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'Progress Brief'!$V$99</c:f>
              <c:strCache>
                <c:ptCount val="1"/>
                <c:pt idx="0">
                  <c:v>0</c:v>
                </c:pt>
              </c:strCache>
            </c:strRef>
          </c:tx>
          <c:spPr>
            <a:solidFill>
              <a:schemeClr val="accent1"/>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2-DB07-4570-BC81-100B8F53F1AC}"/>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2-DB07-4570-BC81-100B8F53F1AC}"/>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DB07-4570-BC81-100B8F53F1AC}"/>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'Progress Brief'!$U$100:$U$101</c:f>
              <c:strCache>
                <c:ptCount val="2"/>
                <c:pt idx="0">
                  <c:v>% of Primary SDPs with 3+ Methods Available</c:v>
                </c:pt>
                <c:pt idx="1">
                  <c:v>% of Secondary/Tertiary SDPs with 5+ Methods Available</c:v>
                </c:pt>
              </c:strCache>
            </c:strRef>
          </c:cat>
          <c:val>
            <c:numRef>
              <c:f>'Progress Brief'!$V$100:$V$101</c:f>
              <c:numCache>
                <c:formatCode>0%</c:formatCode>
                <c:ptCount val="2"/>
                <c:pt idx="0">
                  <c:v>#N/A</c:v>
                </c:pt>
                <c:pt idx="1">
                  <c:v>#N/A</c:v>
                </c:pt>
              </c:numCache>
            </c:numRef>
          </c:val>
          <c:extLst>
            <c:ext xmlns:c16="http://schemas.microsoft.com/office/drawing/2014/chart" uri="{C3380CC4-5D6E-409C-BE32-E72D297353CC}">
              <c16:uniqueId val="{00000000-DB07-4570-BC81-100B8F53F1AC}"/>
            </c:ext>
          </c:extLst>
        </c:ser>
        <c:dLbls>
          <c:showLegendKey val="0"/>
          <c:showVal val="0"/>
          <c:showCatName val="0"/>
          <c:showSerName val="0"/>
          <c:showPercent val="0"/>
          <c:showBubbleSize val="0"/>
        </c:dLbls>
        <c:gapWidth val="50"/>
        <c:overlap val="-27"/>
        <c:axId val="1337790015"/>
        <c:axId val="1337790431"/>
      </c:barChart>
      <c:catAx>
        <c:axId val="1337790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37790431"/>
        <c:crosses val="autoZero"/>
        <c:auto val="1"/>
        <c:lblAlgn val="ctr"/>
        <c:lblOffset val="100"/>
        <c:noMultiLvlLbl val="0"/>
      </c:catAx>
      <c:valAx>
        <c:axId val="1337790431"/>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7900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4273494872923"/>
          <c:y val="0.10197576613022329"/>
          <c:w val="0.72962776518099881"/>
          <c:h val="0.86497903847405722"/>
        </c:manualLayout>
      </c:layout>
      <c:barChart>
        <c:barDir val="bar"/>
        <c:grouping val="clustered"/>
        <c:varyColors val="0"/>
        <c:ser>
          <c:idx val="0"/>
          <c:order val="0"/>
          <c:tx>
            <c:strRef>
              <c:f>'Progress Brief'!$AA$99</c:f>
              <c:strCache>
                <c:ptCount val="1"/>
                <c:pt idx="0">
                  <c:v>% of Facilities Stocked Out</c:v>
                </c:pt>
              </c:strCache>
            </c:strRef>
          </c:tx>
          <c:spPr>
            <a:solidFill>
              <a:schemeClr val="accent1"/>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3-0951-43A3-8C14-370AF1ACAD2F}"/>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004-0951-43A3-8C14-370AF1ACAD2F}"/>
              </c:ext>
            </c:extLst>
          </c:dPt>
          <c:dPt>
            <c:idx val="2"/>
            <c:invertIfNegative val="0"/>
            <c:bubble3D val="0"/>
            <c:spPr>
              <a:solidFill>
                <a:schemeClr val="bg2"/>
              </a:solidFill>
              <a:ln>
                <a:noFill/>
              </a:ln>
              <a:effectLst/>
            </c:spPr>
            <c:extLst>
              <c:ext xmlns:c16="http://schemas.microsoft.com/office/drawing/2014/chart" uri="{C3380CC4-5D6E-409C-BE32-E72D297353CC}">
                <c16:uniqueId val="{00000005-0951-43A3-8C14-370AF1ACAD2F}"/>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6-0951-43A3-8C14-370AF1ACAD2F}"/>
              </c:ext>
            </c:extLst>
          </c:dPt>
          <c:dPt>
            <c:idx val="4"/>
            <c:invertIfNegative val="0"/>
            <c:bubble3D val="0"/>
            <c:spPr>
              <a:solidFill>
                <a:schemeClr val="tx2"/>
              </a:solidFill>
              <a:ln>
                <a:noFill/>
              </a:ln>
              <a:effectLst/>
            </c:spPr>
            <c:extLst>
              <c:ext xmlns:c16="http://schemas.microsoft.com/office/drawing/2014/chart" uri="{C3380CC4-5D6E-409C-BE32-E72D297353CC}">
                <c16:uniqueId val="{00000007-0951-43A3-8C14-370AF1ACAD2F}"/>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8-0951-43A3-8C14-370AF1ACAD2F}"/>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9-0951-43A3-8C14-370AF1ACAD2F}"/>
              </c:ext>
            </c:extLst>
          </c:dPt>
          <c:dPt>
            <c:idx val="8"/>
            <c:invertIfNegative val="0"/>
            <c:bubble3D val="0"/>
            <c:spPr>
              <a:solidFill>
                <a:schemeClr val="accent5"/>
              </a:solidFill>
              <a:ln>
                <a:noFill/>
              </a:ln>
              <a:effectLst/>
            </c:spPr>
            <c:extLst>
              <c:ext xmlns:c16="http://schemas.microsoft.com/office/drawing/2014/chart" uri="{C3380CC4-5D6E-409C-BE32-E72D297353CC}">
                <c16:uniqueId val="{0000000A-0951-43A3-8C14-370AF1ACAD2F}"/>
              </c:ext>
            </c:extLst>
          </c:dPt>
          <c:dPt>
            <c:idx val="9"/>
            <c:invertIfNegative val="0"/>
            <c:bubble3D val="0"/>
            <c:spPr>
              <a:solidFill>
                <a:schemeClr val="accent4"/>
              </a:solidFill>
              <a:ln>
                <a:noFill/>
              </a:ln>
              <a:effectLst/>
            </c:spPr>
            <c:extLst>
              <c:ext xmlns:c16="http://schemas.microsoft.com/office/drawing/2014/chart" uri="{C3380CC4-5D6E-409C-BE32-E72D297353CC}">
                <c16:uniqueId val="{0000000B-0951-43A3-8C14-370AF1ACAD2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'Progress Brief'!$Z$100:$Z$109</c:f>
              <c:strCache>
                <c:ptCount val="10"/>
                <c:pt idx="0">
                  <c:v>Female sterilization</c:v>
                </c:pt>
                <c:pt idx="1">
                  <c:v>Male sterilization</c:v>
                </c:pt>
                <c:pt idx="2">
                  <c:v>IUD</c:v>
                </c:pt>
                <c:pt idx="3">
                  <c:v>Implants</c:v>
                </c:pt>
                <c:pt idx="4">
                  <c:v>Injections</c:v>
                </c:pt>
                <c:pt idx="5">
                  <c:v>Pill</c:v>
                </c:pt>
                <c:pt idx="6">
                  <c:v>Male Condom</c:v>
                </c:pt>
                <c:pt idx="7">
                  <c:v>Female Condom</c:v>
                </c:pt>
                <c:pt idx="8">
                  <c:v>Emergency Contraception</c:v>
                </c:pt>
                <c:pt idx="9">
                  <c:v>Other modern methods</c:v>
                </c:pt>
              </c:strCache>
            </c:strRef>
          </c:cat>
          <c:val>
            <c:numRef>
              <c:f>'Progress Brief'!$AA$100:$AA$109</c:f>
              <c:numCache>
                <c:formatCode>0%</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0-0951-43A3-8C14-370AF1ACAD2F}"/>
            </c:ext>
          </c:extLst>
        </c:ser>
        <c:dLbls>
          <c:showLegendKey val="0"/>
          <c:showVal val="0"/>
          <c:showCatName val="0"/>
          <c:showSerName val="0"/>
          <c:showPercent val="0"/>
          <c:showBubbleSize val="0"/>
        </c:dLbls>
        <c:gapWidth val="50"/>
        <c:axId val="1337212655"/>
        <c:axId val="1337213903"/>
      </c:barChart>
      <c:catAx>
        <c:axId val="13372126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213903"/>
        <c:crosses val="autoZero"/>
        <c:auto val="1"/>
        <c:lblAlgn val="ctr"/>
        <c:lblOffset val="100"/>
        <c:noMultiLvlLbl val="0"/>
      </c:catAx>
      <c:valAx>
        <c:axId val="1337213903"/>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21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1199947922199"/>
          <c:y val="4.2656319226824446E-2"/>
          <c:w val="0.84749529758009534"/>
          <c:h val="0.86738434320718727"/>
        </c:manualLayout>
      </c:layout>
      <c:barChart>
        <c:barDir val="col"/>
        <c:grouping val="clustered"/>
        <c:varyColors val="0"/>
        <c:ser>
          <c:idx val="0"/>
          <c:order val="0"/>
          <c:tx>
            <c:strRef>
              <c:f>'Progress Brief'!$T$124</c:f>
              <c:strCache>
                <c:ptCount val="1"/>
                <c:pt idx="0">
                  <c:v>CYP</c:v>
                </c:pt>
              </c:strCache>
            </c:strRef>
          </c:tx>
          <c:spPr>
            <a:solidFill>
              <a:schemeClr val="accent6"/>
            </a:solidFill>
            <a:ln>
              <a:solidFill>
                <a:schemeClr val="bg1"/>
              </a:solidFill>
            </a:ln>
            <a:effectLst/>
          </c:spPr>
          <c:invertIfNegative val="0"/>
          <c:cat>
            <c:numRef>
              <c:f>'Progress Brief'!$U$123:$AD$123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'Progress Brief'!$U$124:$AD$124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FD-4318-AF1F-7E038A87810A}"/>
            </c:ext>
          </c:extLst>
        </c:ser>
        <c:dLbls>
          <c:showLegendKey val="0"/>
          <c:showVal val="0"/>
          <c:showCatName val="0"/>
          <c:showSerName val="0"/>
          <c:showPercent val="0"/>
          <c:showBubbleSize val="0"/>
        </c:dLbls>
        <c:gapWidth val="0"/>
        <c:axId val="1226578351"/>
        <c:axId val="1226572943"/>
      </c:barChart>
      <c:catAx>
        <c:axId val="1226578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572943"/>
        <c:crosses val="autoZero"/>
        <c:auto val="1"/>
        <c:lblAlgn val="ctr"/>
        <c:lblOffset val="100"/>
        <c:noMultiLvlLbl val="0"/>
      </c:catAx>
      <c:valAx>
        <c:axId val="1226572943"/>
        <c:scaling>
          <c:orientation val="minMax"/>
        </c:scaling>
        <c:delete val="0"/>
        <c:axPos val="l"/>
        <c:majorGridlines>
          <c:spPr>
            <a:ln w="9525" cap="flat" cmpd="sng" algn="ctr">
              <a:solidFill>
                <a:schemeClr val="tx1">
                  <a:lumMod val="15000"/>
                  <a:lumOff val="85000"/>
                </a:schemeClr>
              </a:solidFill>
              <a:round/>
            </a:ln>
            <a:effectLst/>
          </c:spPr>
        </c:majorGridlines>
        <c:title>
          <c:tx>
            <c:strRef>
              <c:f>'Progress Brief'!$T$124</c:f>
              <c:strCache>
                <c:ptCount val="1"/>
                <c:pt idx="0">
                  <c:v>CYP</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5783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13967422120922"/>
          <c:y val="4.3294296154679335E-2"/>
          <c:w val="0.79615668187389621"/>
          <c:h val="0.86540091540939146"/>
        </c:manualLayout>
      </c:layout>
      <c:barChart>
        <c:barDir val="col"/>
        <c:grouping val="clustered"/>
        <c:varyColors val="0"/>
        <c:ser>
          <c:idx val="0"/>
          <c:order val="0"/>
          <c:tx>
            <c:strRef>
              <c:f>'Progress Brief'!$T$126</c:f>
              <c:strCache>
                <c:ptCount val="1"/>
                <c:pt idx="0">
                  <c:v>Domestic Governement Expenditure ()</c:v>
                </c:pt>
              </c:strCache>
            </c:strRef>
          </c:tx>
          <c:spPr>
            <a:solidFill>
              <a:schemeClr val="accent2"/>
            </a:solidFill>
            <a:ln>
              <a:solidFill>
                <a:schemeClr val="bg1"/>
              </a:solidFill>
            </a:ln>
            <a:effectLst/>
          </c:spPr>
          <c:invertIfNegative val="0"/>
          <c:cat>
            <c:numRef>
              <c:f>'Progress Brief'!$U$125:$AD$125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'Progress Brief'!$U$126:$AD$126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77-42F4-B550-5DBEAB439C52}"/>
            </c:ext>
          </c:extLst>
        </c:ser>
        <c:dLbls>
          <c:showLegendKey val="0"/>
          <c:showVal val="0"/>
          <c:showCatName val="0"/>
          <c:showSerName val="0"/>
          <c:showPercent val="0"/>
          <c:showBubbleSize val="0"/>
        </c:dLbls>
        <c:gapWidth val="0"/>
        <c:overlap val="-27"/>
        <c:axId val="1337215567"/>
        <c:axId val="1337209327"/>
      </c:barChart>
      <c:catAx>
        <c:axId val="1337215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209327"/>
        <c:crosses val="autoZero"/>
        <c:auto val="1"/>
        <c:lblAlgn val="ctr"/>
        <c:lblOffset val="100"/>
        <c:noMultiLvlLbl val="0"/>
      </c:catAx>
      <c:valAx>
        <c:axId val="1337209327"/>
        <c:scaling>
          <c:orientation val="minMax"/>
        </c:scaling>
        <c:delete val="0"/>
        <c:axPos val="l"/>
        <c:majorGridlines>
          <c:spPr>
            <a:ln w="9525" cap="flat" cmpd="sng" algn="ctr">
              <a:solidFill>
                <a:schemeClr val="tx1">
                  <a:lumMod val="15000"/>
                  <a:lumOff val="85000"/>
                </a:schemeClr>
              </a:solidFill>
              <a:round/>
            </a:ln>
            <a:effectLst/>
          </c:spPr>
        </c:majorGridlines>
        <c:title>
          <c:tx>
            <c:strRef>
              <c:f>'Progress Brief'!$T$126</c:f>
              <c:strCache>
                <c:ptCount val="1"/>
                <c:pt idx="0">
                  <c:v>Domestic Governement Expenditure ()</c:v>
                </c:pt>
              </c:strCache>
            </c:strRef>
          </c:tx>
          <c:layout>
            <c:manualLayout>
              <c:xMode val="edge"/>
              <c:yMode val="edge"/>
              <c:x val="1.873383690835367E-2"/>
              <c:y val="0.160949190850651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215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16</xdr:col>
      <xdr:colOff>5821</xdr:colOff>
      <xdr:row>250</xdr:row>
      <xdr:rowOff>42864</xdr:rowOff>
    </xdr:from>
    <xdr:to>
      <xdr:col>16</xdr:col>
      <xdr:colOff>539221</xdr:colOff>
      <xdr:row>255</xdr:row>
      <xdr:rowOff>148167</xdr:rowOff>
    </xdr:to>
    <xdr:sp macro="" textlink="">
      <xdr:nvSpPr>
        <xdr:cNvPr id="3" name="Isosceles Triangle 2">
          <a:extLst>
            <a:ext uri="{FF2B5EF4-FFF2-40B4-BE49-F238E27FC236}">
              <a16:creationId xmlns:a16="http://schemas.microsoft.com/office/drawing/2014/main" id="{00000000-0008-0000-0100-000003000000}"/>
            </a:ext>
          </a:extLst>
        </xdr:cNvPr>
        <xdr:cNvSpPr/>
      </xdr:nvSpPr>
      <xdr:spPr>
        <a:xfrm rot="5400000">
          <a:off x="10875169" y="33860583"/>
          <a:ext cx="1146703" cy="533400"/>
        </a:xfrm>
        <a:prstGeom prst="triangle">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855133</xdr:colOff>
      <xdr:row>103</xdr:row>
      <xdr:rowOff>152401</xdr:rowOff>
    </xdr:from>
    <xdr:to>
      <xdr:col>12</xdr:col>
      <xdr:colOff>509784</xdr:colOff>
      <xdr:row>108</xdr:row>
      <xdr:rowOff>20637</xdr:rowOff>
    </xdr:to>
    <xdr:sp macro="" textlink="">
      <xdr:nvSpPr>
        <xdr:cNvPr id="6" name="Isosceles Triangle 5">
          <a:extLst>
            <a:ext uri="{FF2B5EF4-FFF2-40B4-BE49-F238E27FC236}">
              <a16:creationId xmlns:a16="http://schemas.microsoft.com/office/drawing/2014/main" id="{6893DD82-69F4-4FC4-93A0-9D16F044AC4F}"/>
            </a:ext>
          </a:extLst>
        </xdr:cNvPr>
        <xdr:cNvSpPr/>
      </xdr:nvSpPr>
      <xdr:spPr>
        <a:xfrm rot="5400000">
          <a:off x="7381973" y="29134761"/>
          <a:ext cx="1146703" cy="535184"/>
        </a:xfrm>
        <a:prstGeom prst="triangle">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19</xdr:col>
      <xdr:colOff>345281</xdr:colOff>
      <xdr:row>0</xdr:row>
      <xdr:rowOff>166687</xdr:rowOff>
    </xdr:from>
    <xdr:to>
      <xdr:col>20</xdr:col>
      <xdr:colOff>859365</xdr:colOff>
      <xdr:row>5</xdr:row>
      <xdr:rowOff>60006</xdr:rowOff>
    </xdr:to>
    <xdr:pic>
      <xdr:nvPicPr>
        <xdr:cNvPr id="5" name="Picture 4">
          <a:extLst>
            <a:ext uri="{FF2B5EF4-FFF2-40B4-BE49-F238E27FC236}">
              <a16:creationId xmlns:a16="http://schemas.microsoft.com/office/drawing/2014/main" id="{17404B05-510C-4ADD-8A32-FED74D2BD0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27969" y="166687"/>
          <a:ext cx="1391336" cy="770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659976</xdr:colOff>
      <xdr:row>1</xdr:row>
      <xdr:rowOff>39741</xdr:rowOff>
    </xdr:from>
    <xdr:to>
      <xdr:col>18</xdr:col>
      <xdr:colOff>93927</xdr:colOff>
      <xdr:row>10</xdr:row>
      <xdr:rowOff>342477</xdr:rowOff>
    </xdr:to>
    <xdr:pic>
      <xdr:nvPicPr>
        <xdr:cNvPr id="2" name="Picture 1">
          <a:extLst>
            <a:ext uri="{FF2B5EF4-FFF2-40B4-BE49-F238E27FC236}">
              <a16:creationId xmlns:a16="http://schemas.microsoft.com/office/drawing/2014/main" id="{3AD39174-5BC8-4B57-A19C-F2A671FC9B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23726" y="219658"/>
          <a:ext cx="1208141" cy="609652"/>
        </a:xfrm>
        <a:prstGeom prst="rect">
          <a:avLst/>
        </a:prstGeom>
      </xdr:spPr>
    </xdr:pic>
    <xdr:clientData/>
  </xdr:twoCellAnchor>
  <xdr:twoCellAnchor>
    <xdr:from>
      <xdr:col>11</xdr:col>
      <xdr:colOff>849464</xdr:colOff>
      <xdr:row>115</xdr:row>
      <xdr:rowOff>54566</xdr:rowOff>
    </xdr:from>
    <xdr:to>
      <xdr:col>12</xdr:col>
      <xdr:colOff>504115</xdr:colOff>
      <xdr:row>120</xdr:row>
      <xdr:rowOff>159869</xdr:rowOff>
    </xdr:to>
    <xdr:sp macro="" textlink="">
      <xdr:nvSpPr>
        <xdr:cNvPr id="3" name="Isosceles Triangle 2">
          <a:extLst>
            <a:ext uri="{FF2B5EF4-FFF2-40B4-BE49-F238E27FC236}">
              <a16:creationId xmlns:a16="http://schemas.microsoft.com/office/drawing/2014/main" id="{F0F1DA34-24A3-42A7-BDCD-F3F440CC2DB3}"/>
            </a:ext>
          </a:extLst>
        </xdr:cNvPr>
        <xdr:cNvSpPr/>
      </xdr:nvSpPr>
      <xdr:spPr>
        <a:xfrm rot="5400000">
          <a:off x="10849906" y="21867624"/>
          <a:ext cx="1112232" cy="539115"/>
        </a:xfrm>
        <a:prstGeom prst="triangle">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7726</xdr:colOff>
      <xdr:row>67</xdr:row>
      <xdr:rowOff>91444</xdr:rowOff>
    </xdr:from>
    <xdr:to>
      <xdr:col>11</xdr:col>
      <xdr:colOff>541126</xdr:colOff>
      <xdr:row>123</xdr:row>
      <xdr:rowOff>238128</xdr:rowOff>
    </xdr:to>
    <xdr:sp macro="" textlink="">
      <xdr:nvSpPr>
        <xdr:cNvPr id="3" name="Isosceles Triangle 2">
          <a:extLst>
            <a:ext uri="{FF2B5EF4-FFF2-40B4-BE49-F238E27FC236}">
              <a16:creationId xmlns:a16="http://schemas.microsoft.com/office/drawing/2014/main" id="{A1A187F9-9841-4381-A2C7-2F69EC835F00}"/>
            </a:ext>
          </a:extLst>
        </xdr:cNvPr>
        <xdr:cNvSpPr/>
      </xdr:nvSpPr>
      <xdr:spPr>
        <a:xfrm rot="5400000">
          <a:off x="9340321" y="14447524"/>
          <a:ext cx="1051559" cy="533400"/>
        </a:xfrm>
        <a:prstGeom prst="triangle">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833437</xdr:colOff>
      <xdr:row>29</xdr:row>
      <xdr:rowOff>119066</xdr:rowOff>
    </xdr:from>
    <xdr:to>
      <xdr:col>13</xdr:col>
      <xdr:colOff>521494</xdr:colOff>
      <xdr:row>34</xdr:row>
      <xdr:rowOff>83344</xdr:rowOff>
    </xdr:to>
    <xdr:sp macro="" textlink="">
      <xdr:nvSpPr>
        <xdr:cNvPr id="2" name="Isosceles Triangle 1">
          <a:extLst>
            <a:ext uri="{FF2B5EF4-FFF2-40B4-BE49-F238E27FC236}">
              <a16:creationId xmlns:a16="http://schemas.microsoft.com/office/drawing/2014/main" id="{00000000-0008-0000-0400-000002000000}"/>
            </a:ext>
          </a:extLst>
        </xdr:cNvPr>
        <xdr:cNvSpPr/>
      </xdr:nvSpPr>
      <xdr:spPr>
        <a:xfrm rot="5400000">
          <a:off x="10500123" y="16860443"/>
          <a:ext cx="1059653" cy="533400"/>
        </a:xfrm>
        <a:prstGeom prst="triangle">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603548</xdr:colOff>
      <xdr:row>3</xdr:row>
      <xdr:rowOff>63500</xdr:rowOff>
    </xdr:from>
    <xdr:to>
      <xdr:col>19</xdr:col>
      <xdr:colOff>211331</xdr:colOff>
      <xdr:row>5</xdr:row>
      <xdr:rowOff>188922</xdr:rowOff>
    </xdr:to>
    <xdr:pic>
      <xdr:nvPicPr>
        <xdr:cNvPr id="3" name="Picture 2">
          <a:extLst>
            <a:ext uri="{FF2B5EF4-FFF2-40B4-BE49-F238E27FC236}">
              <a16:creationId xmlns:a16="http://schemas.microsoft.com/office/drawing/2014/main" id="{E97A4600-0516-4517-B47A-506574FFAABD}"/>
            </a:ext>
          </a:extLst>
        </xdr:cNvPr>
        <xdr:cNvPicPr>
          <a:picLocks noChangeAspect="1"/>
        </xdr:cNvPicPr>
      </xdr:nvPicPr>
      <xdr:blipFill>
        <a:blip xmlns:r="http://schemas.openxmlformats.org/officeDocument/2006/relationships" r:embed="rId1"/>
        <a:stretch>
          <a:fillRect/>
        </a:stretch>
      </xdr:blipFill>
      <xdr:spPr>
        <a:xfrm>
          <a:off x="13843298" y="1143000"/>
          <a:ext cx="1310853" cy="728672"/>
        </a:xfrm>
        <a:prstGeom prst="rect">
          <a:avLst/>
        </a:prstGeom>
      </xdr:spPr>
    </xdr:pic>
    <xdr:clientData/>
  </xdr:twoCellAnchor>
  <xdr:twoCellAnchor editAs="oneCell">
    <xdr:from>
      <xdr:col>19</xdr:col>
      <xdr:colOff>351155</xdr:colOff>
      <xdr:row>3</xdr:row>
      <xdr:rowOff>21445</xdr:rowOff>
    </xdr:from>
    <xdr:to>
      <xdr:col>21</xdr:col>
      <xdr:colOff>53340</xdr:colOff>
      <xdr:row>5</xdr:row>
      <xdr:rowOff>246841</xdr:rowOff>
    </xdr:to>
    <xdr:pic>
      <xdr:nvPicPr>
        <xdr:cNvPr id="7" name="Picture 6">
          <a:extLst>
            <a:ext uri="{FF2B5EF4-FFF2-40B4-BE49-F238E27FC236}">
              <a16:creationId xmlns:a16="http://schemas.microsoft.com/office/drawing/2014/main" id="{AEEC7284-3514-4C92-8CB3-2525720CD70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383" r="9346" b="9729"/>
        <a:stretch/>
      </xdr:blipFill>
      <xdr:spPr>
        <a:xfrm>
          <a:off x="15305405" y="1100945"/>
          <a:ext cx="1407160" cy="8400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231775</xdr:colOff>
      <xdr:row>30</xdr:row>
      <xdr:rowOff>15240</xdr:rowOff>
    </xdr:from>
    <xdr:to>
      <xdr:col>15</xdr:col>
      <xdr:colOff>152400</xdr:colOff>
      <xdr:row>39</xdr:row>
      <xdr:rowOff>231322</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28202</xdr:colOff>
      <xdr:row>71</xdr:row>
      <xdr:rowOff>440</xdr:rowOff>
    </xdr:from>
    <xdr:to>
      <xdr:col>14</xdr:col>
      <xdr:colOff>920750</xdr:colOff>
      <xdr:row>90</xdr:row>
      <xdr:rowOff>160655</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11430</xdr:colOff>
      <xdr:row>24</xdr:row>
      <xdr:rowOff>635</xdr:rowOff>
    </xdr:from>
    <xdr:to>
      <xdr:col>11</xdr:col>
      <xdr:colOff>94725</xdr:colOff>
      <xdr:row>39</xdr:row>
      <xdr:rowOff>0</xdr:rowOff>
    </xdr:to>
    <xdr:graphicFrame macro="">
      <xdr:nvGraphicFramePr>
        <xdr:cNvPr id="9" name="Chart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331107</xdr:colOff>
      <xdr:row>212</xdr:row>
      <xdr:rowOff>139247</xdr:rowOff>
    </xdr:from>
    <xdr:to>
      <xdr:col>27</xdr:col>
      <xdr:colOff>322035</xdr:colOff>
      <xdr:row>227</xdr:row>
      <xdr:rowOff>8166</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3090</xdr:colOff>
      <xdr:row>81</xdr:row>
      <xdr:rowOff>246785</xdr:rowOff>
    </xdr:from>
    <xdr:to>
      <xdr:col>2</xdr:col>
      <xdr:colOff>608609</xdr:colOff>
      <xdr:row>84</xdr:row>
      <xdr:rowOff>171944</xdr:rowOff>
    </xdr:to>
    <xdr:sp macro="" textlink="">
      <xdr:nvSpPr>
        <xdr:cNvPr id="28" name="Isosceles Triangle 27">
          <a:extLst>
            <a:ext uri="{FF2B5EF4-FFF2-40B4-BE49-F238E27FC236}">
              <a16:creationId xmlns:a16="http://schemas.microsoft.com/office/drawing/2014/main" id="{00000000-0008-0000-0600-00001C000000}"/>
            </a:ext>
          </a:extLst>
        </xdr:cNvPr>
        <xdr:cNvSpPr/>
      </xdr:nvSpPr>
      <xdr:spPr>
        <a:xfrm rot="10800000">
          <a:off x="5882613" y="30267853"/>
          <a:ext cx="605519" cy="557273"/>
        </a:xfrm>
        <a:prstGeom prst="triangle">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839560</xdr:colOff>
      <xdr:row>85</xdr:row>
      <xdr:rowOff>172812</xdr:rowOff>
    </xdr:from>
    <xdr:to>
      <xdr:col>5</xdr:col>
      <xdr:colOff>288470</xdr:colOff>
      <xdr:row>88</xdr:row>
      <xdr:rowOff>29939</xdr:rowOff>
    </xdr:to>
    <xdr:sp macro="" textlink="">
      <xdr:nvSpPr>
        <xdr:cNvPr id="29" name="Isosceles Triangle 28">
          <a:extLst>
            <a:ext uri="{FF2B5EF4-FFF2-40B4-BE49-F238E27FC236}">
              <a16:creationId xmlns:a16="http://schemas.microsoft.com/office/drawing/2014/main" id="{00000000-0008-0000-0600-00001D000000}"/>
            </a:ext>
          </a:extLst>
        </xdr:cNvPr>
        <xdr:cNvSpPr/>
      </xdr:nvSpPr>
      <xdr:spPr>
        <a:xfrm rot="5400000">
          <a:off x="8391523" y="30108528"/>
          <a:ext cx="428627" cy="319767"/>
        </a:xfrm>
        <a:prstGeom prst="triangle">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448912</xdr:colOff>
      <xdr:row>86</xdr:row>
      <xdr:rowOff>189142</xdr:rowOff>
    </xdr:from>
    <xdr:to>
      <xdr:col>8</xdr:col>
      <xdr:colOff>6682</xdr:colOff>
      <xdr:row>88</xdr:row>
      <xdr:rowOff>127909</xdr:rowOff>
    </xdr:to>
    <xdr:sp macro="" textlink="">
      <xdr:nvSpPr>
        <xdr:cNvPr id="31" name="Isosceles Triangle 30">
          <a:extLst>
            <a:ext uri="{FF2B5EF4-FFF2-40B4-BE49-F238E27FC236}">
              <a16:creationId xmlns:a16="http://schemas.microsoft.com/office/drawing/2014/main" id="{00000000-0008-0000-0600-00001F000000}"/>
            </a:ext>
          </a:extLst>
        </xdr:cNvPr>
        <xdr:cNvSpPr/>
      </xdr:nvSpPr>
      <xdr:spPr>
        <a:xfrm rot="10800000">
          <a:off x="10701276" y="31223324"/>
          <a:ext cx="432338" cy="319767"/>
        </a:xfrm>
        <a:prstGeom prst="triangl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301625</xdr:colOff>
      <xdr:row>46</xdr:row>
      <xdr:rowOff>63499</xdr:rowOff>
    </xdr:from>
    <xdr:to>
      <xdr:col>15</xdr:col>
      <xdr:colOff>0</xdr:colOff>
      <xdr:row>65</xdr:row>
      <xdr:rowOff>130809</xdr:rowOff>
    </xdr:to>
    <xdr:graphicFrame macro="">
      <xdr:nvGraphicFramePr>
        <xdr:cNvPr id="5" name="Chart 4">
          <a:extLst>
            <a:ext uri="{FF2B5EF4-FFF2-40B4-BE49-F238E27FC236}">
              <a16:creationId xmlns:a16="http://schemas.microsoft.com/office/drawing/2014/main" id="{79267853-A9D2-480C-B7C8-5DB982BD49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240346</xdr:colOff>
      <xdr:row>97</xdr:row>
      <xdr:rowOff>63182</xdr:rowOff>
    </xdr:from>
    <xdr:to>
      <xdr:col>7</xdr:col>
      <xdr:colOff>802004</xdr:colOff>
      <xdr:row>116</xdr:row>
      <xdr:rowOff>107315</xdr:rowOff>
    </xdr:to>
    <xdr:graphicFrame macro="">
      <xdr:nvGraphicFramePr>
        <xdr:cNvPr id="6" name="Chart 5">
          <a:extLst>
            <a:ext uri="{FF2B5EF4-FFF2-40B4-BE49-F238E27FC236}">
              <a16:creationId xmlns:a16="http://schemas.microsoft.com/office/drawing/2014/main" id="{B4B4698C-27C8-4430-A631-F2516C407C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131127</xdr:colOff>
      <xdr:row>97</xdr:row>
      <xdr:rowOff>9524</xdr:rowOff>
    </xdr:from>
    <xdr:to>
      <xdr:col>14</xdr:col>
      <xdr:colOff>610870</xdr:colOff>
      <xdr:row>116</xdr:row>
      <xdr:rowOff>63500</xdr:rowOff>
    </xdr:to>
    <xdr:graphicFrame macro="">
      <xdr:nvGraphicFramePr>
        <xdr:cNvPr id="7" name="Chart 6">
          <a:extLst>
            <a:ext uri="{FF2B5EF4-FFF2-40B4-BE49-F238E27FC236}">
              <a16:creationId xmlns:a16="http://schemas.microsoft.com/office/drawing/2014/main" id="{ECEF510C-5F6A-41F5-8EBA-4416BE9AF5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9842</xdr:colOff>
      <xdr:row>121</xdr:row>
      <xdr:rowOff>89535</xdr:rowOff>
    </xdr:from>
    <xdr:to>
      <xdr:col>14</xdr:col>
      <xdr:colOff>948690</xdr:colOff>
      <xdr:row>128</xdr:row>
      <xdr:rowOff>158751</xdr:rowOff>
    </xdr:to>
    <xdr:graphicFrame macro="">
      <xdr:nvGraphicFramePr>
        <xdr:cNvPr id="8" name="Chart 7">
          <a:extLst>
            <a:ext uri="{FF2B5EF4-FFF2-40B4-BE49-F238E27FC236}">
              <a16:creationId xmlns:a16="http://schemas.microsoft.com/office/drawing/2014/main" id="{AE86D4C1-B5F5-408E-8AEB-04CE7EADAB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8255</xdr:colOff>
      <xdr:row>121</xdr:row>
      <xdr:rowOff>47307</xdr:rowOff>
    </xdr:from>
    <xdr:to>
      <xdr:col>7</xdr:col>
      <xdr:colOff>924242</xdr:colOff>
      <xdr:row>128</xdr:row>
      <xdr:rowOff>105410</xdr:rowOff>
    </xdr:to>
    <xdr:graphicFrame macro="">
      <xdr:nvGraphicFramePr>
        <xdr:cNvPr id="10" name="Chart 9">
          <a:extLst>
            <a:ext uri="{FF2B5EF4-FFF2-40B4-BE49-F238E27FC236}">
              <a16:creationId xmlns:a16="http://schemas.microsoft.com/office/drawing/2014/main" id="{0D1BE826-58F1-4830-B384-B0E18B78AD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116475</xdr:colOff>
      <xdr:row>130</xdr:row>
      <xdr:rowOff>89534</xdr:rowOff>
    </xdr:from>
    <xdr:to>
      <xdr:col>3</xdr:col>
      <xdr:colOff>308327</xdr:colOff>
      <xdr:row>131</xdr:row>
      <xdr:rowOff>758190</xdr:rowOff>
    </xdr:to>
    <xdr:pic>
      <xdr:nvPicPr>
        <xdr:cNvPr id="11" name="Picture 10">
          <a:extLst>
            <a:ext uri="{FF2B5EF4-FFF2-40B4-BE49-F238E27FC236}">
              <a16:creationId xmlns:a16="http://schemas.microsoft.com/office/drawing/2014/main" id="{2E63A496-9EC3-4667-B3C2-7A7CD3929358}"/>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79761" y="31671713"/>
          <a:ext cx="1498137" cy="8591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13947</xdr:colOff>
      <xdr:row>13</xdr:row>
      <xdr:rowOff>31568</xdr:rowOff>
    </xdr:from>
    <xdr:to>
      <xdr:col>20</xdr:col>
      <xdr:colOff>837859</xdr:colOff>
      <xdr:row>17</xdr:row>
      <xdr:rowOff>32044</xdr:rowOff>
    </xdr:to>
    <xdr:graphicFrame macro="">
      <xdr:nvGraphicFramePr>
        <xdr:cNvPr id="3" name="Chart 2">
          <a:extLst>
            <a:ext uri="{FF2B5EF4-FFF2-40B4-BE49-F238E27FC236}">
              <a16:creationId xmlns:a16="http://schemas.microsoft.com/office/drawing/2014/main" id="{2B8F6A71-0132-48B9-946B-F16667DA0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13947</xdr:colOff>
      <xdr:row>26</xdr:row>
      <xdr:rowOff>31567</xdr:rowOff>
    </xdr:from>
    <xdr:to>
      <xdr:col>20</xdr:col>
      <xdr:colOff>837859</xdr:colOff>
      <xdr:row>30</xdr:row>
      <xdr:rowOff>293914</xdr:rowOff>
    </xdr:to>
    <xdr:graphicFrame macro="">
      <xdr:nvGraphicFramePr>
        <xdr:cNvPr id="6" name="Chart 5">
          <a:extLst>
            <a:ext uri="{FF2B5EF4-FFF2-40B4-BE49-F238E27FC236}">
              <a16:creationId xmlns:a16="http://schemas.microsoft.com/office/drawing/2014/main" id="{4DF9FC1F-8E7B-42C1-8E5F-FEA27201B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13947</xdr:colOff>
      <xdr:row>39</xdr:row>
      <xdr:rowOff>109944</xdr:rowOff>
    </xdr:from>
    <xdr:to>
      <xdr:col>21</xdr:col>
      <xdr:colOff>21771</xdr:colOff>
      <xdr:row>45</xdr:row>
      <xdr:rowOff>75586</xdr:rowOff>
    </xdr:to>
    <xdr:graphicFrame macro="">
      <xdr:nvGraphicFramePr>
        <xdr:cNvPr id="7" name="Chart 6">
          <a:extLst>
            <a:ext uri="{FF2B5EF4-FFF2-40B4-BE49-F238E27FC236}">
              <a16:creationId xmlns:a16="http://schemas.microsoft.com/office/drawing/2014/main" id="{D17FBD8E-A152-4BE4-868B-51E162CB7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41</xdr:col>
      <xdr:colOff>1088570</xdr:colOff>
      <xdr:row>107</xdr:row>
      <xdr:rowOff>81642</xdr:rowOff>
    </xdr:from>
    <xdr:to>
      <xdr:col>49</xdr:col>
      <xdr:colOff>326570</xdr:colOff>
      <xdr:row>125</xdr:row>
      <xdr:rowOff>72117</xdr:rowOff>
    </xdr:to>
    <xdr:graphicFrame macro="">
      <xdr:nvGraphicFramePr>
        <xdr:cNvPr id="2" name="Chart 1">
          <a:extLst>
            <a:ext uri="{FF2B5EF4-FFF2-40B4-BE49-F238E27FC236}">
              <a16:creationId xmlns:a16="http://schemas.microsoft.com/office/drawing/2014/main" id="{29452F1F-F72D-437E-971A-BE740AC68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1088570</xdr:colOff>
      <xdr:row>107</xdr:row>
      <xdr:rowOff>81642</xdr:rowOff>
    </xdr:from>
    <xdr:to>
      <xdr:col>49</xdr:col>
      <xdr:colOff>326570</xdr:colOff>
      <xdr:row>125</xdr:row>
      <xdr:rowOff>72117</xdr:rowOff>
    </xdr:to>
    <xdr:graphicFrame macro="">
      <xdr:nvGraphicFramePr>
        <xdr:cNvPr id="3" name="Chart 2">
          <a:extLst>
            <a:ext uri="{FF2B5EF4-FFF2-40B4-BE49-F238E27FC236}">
              <a16:creationId xmlns:a16="http://schemas.microsoft.com/office/drawing/2014/main" id="{C2ED7358-DFE5-410D-9784-49E7CC7CE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williamson/Dropbox/FPET%20Data/Indicator%201-4%20Calculations/Indicators%201-4%20Annual%20Report%20Consolidated%202.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Update (Jan 2016) v1"/>
      <sheetName val="2015 Update (March 2015)"/>
      <sheetName val="2016 Update (Mar 2016) v2"/>
      <sheetName val="2015 Report (Jul 2015)"/>
      <sheetName val="2014 Report (Oct 2014)"/>
      <sheetName val="Updates"/>
      <sheetName val="Anomalies"/>
      <sheetName val="Anomalies (2015 Update)"/>
      <sheetName val="mCPR Regional Ratios (post 2015"/>
      <sheetName val=" Anomalies - old for Gates dash"/>
      <sheetName val="old sheet for 1-15 dashboard"/>
      <sheetName val="3-15 Dashboard"/>
      <sheetName val="2013 report projections"/>
      <sheetName val="2016 Update (Jan 2016) v2"/>
    </sheetNames>
    <sheetDataSet>
      <sheetData sheetId="0" refreshError="1"/>
      <sheetData sheetId="1"/>
      <sheetData sheetId="2"/>
      <sheetData sheetId="3">
        <row r="6">
          <cell r="A6" t="str">
            <v>Afghanistan</v>
          </cell>
        </row>
      </sheetData>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essica Williamson" id="{D35509FE-584A-451B-93AA-3191C997B6BE}" userId="S::JWilliamson@avenirhealth.org::d53588a2-80b4-4c88-a6ef-553768bb71d4" providerId="AD"/>
</personList>
</file>

<file path=xl/theme/theme1.xml><?xml version="1.0" encoding="utf-8"?>
<a:theme xmlns:a="http://schemas.openxmlformats.org/drawingml/2006/main" name="Office Theme">
  <a:themeElements>
    <a:clrScheme name="Custom 7">
      <a:dk1>
        <a:sysClr val="windowText" lastClr="000000"/>
      </a:dk1>
      <a:lt1>
        <a:sysClr val="window" lastClr="FFFFFF"/>
      </a:lt1>
      <a:dk2>
        <a:srgbClr val="1D4E92"/>
      </a:dk2>
      <a:lt2>
        <a:srgbClr val="0B9444"/>
      </a:lt2>
      <a:accent1>
        <a:srgbClr val="3892C6"/>
      </a:accent1>
      <a:accent2>
        <a:srgbClr val="8DC645"/>
      </a:accent2>
      <a:accent3>
        <a:srgbClr val="ED7D31"/>
      </a:accent3>
      <a:accent4>
        <a:srgbClr val="A5A5A5"/>
      </a:accent4>
      <a:accent5>
        <a:srgbClr val="FCD116"/>
      </a:accent5>
      <a:accent6>
        <a:srgbClr val="954F72"/>
      </a:accent6>
      <a:hlink>
        <a:srgbClr val="954F72"/>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ustom 6">
    <a:dk1>
      <a:sysClr val="windowText" lastClr="000000"/>
    </a:dk1>
    <a:lt1>
      <a:sysClr val="window" lastClr="FFFFFF"/>
    </a:lt1>
    <a:dk2>
      <a:srgbClr val="1D4E92"/>
    </a:dk2>
    <a:lt2>
      <a:srgbClr val="0B9444"/>
    </a:lt2>
    <a:accent1>
      <a:srgbClr val="3892C6"/>
    </a:accent1>
    <a:accent2>
      <a:srgbClr val="8DC645"/>
    </a:accent2>
    <a:accent3>
      <a:srgbClr val="F49100"/>
    </a:accent3>
    <a:accent4>
      <a:srgbClr val="A5A5A5"/>
    </a:accent4>
    <a:accent5>
      <a:srgbClr val="FCD116"/>
    </a:accent5>
    <a:accent6>
      <a:srgbClr val="954F72"/>
    </a:accent6>
    <a:hlink>
      <a:srgbClr val="954F72"/>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E12" dT="2019-06-26T19:48:02.28" personId="{D35509FE-584A-451B-93AA-3191C997B6BE}" id="{7C5FF806-2391-494C-B3B5-3EA160D2B192}">
    <text>Dec 2018 - Jan 2019</text>
  </threadedComment>
  <threadedComment ref="D36" dT="2019-07-01T20:08:08.73" personId="{D35509FE-584A-451B-93AA-3191C997B6BE}" id="{B8BDB258-32A5-43EE-B3D8-70CA0D21FD86}">
    <text>Confirming PMA R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who.int/reproductivehealth/publications/monitoring/maternal-mortality-2015/en/"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track20.org/" TargetMode="External"/><Relationship Id="rId1" Type="http://schemas.openxmlformats.org/officeDocument/2006/relationships/hyperlink" Target="http://www.track20.org/"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track20.org/" TargetMode="External"/><Relationship Id="rId1" Type="http://schemas.openxmlformats.org/officeDocument/2006/relationships/hyperlink" Target="http://www.track20.or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pageSetUpPr autoPageBreaks="0"/>
  </sheetPr>
  <dimension ref="B1:AR243"/>
  <sheetViews>
    <sheetView showGridLines="0" tabSelected="1" zoomScale="80" zoomScaleNormal="80" workbookViewId="0">
      <selection activeCell="AS28" sqref="AS28"/>
    </sheetView>
  </sheetViews>
  <sheetFormatPr defaultColWidth="9.109375" defaultRowHeight="14.4" x14ac:dyDescent="0.3"/>
  <cols>
    <col min="1" max="1" width="3.33203125" customWidth="1"/>
    <col min="2" max="2" width="5.88671875" customWidth="1"/>
    <col min="3" max="3" width="16.33203125" customWidth="1"/>
    <col min="4" max="4" width="35.5546875" customWidth="1"/>
    <col min="5" max="7" width="9.33203125" hidden="1" customWidth="1"/>
    <col min="8" max="8" width="35.88671875" hidden="1" customWidth="1"/>
    <col min="9" max="27" width="12.88671875" customWidth="1"/>
    <col min="28" max="28" width="9.109375" customWidth="1"/>
    <col min="29" max="31" width="13.5546875" hidden="1" customWidth="1"/>
    <col min="32" max="32" width="46.6640625" hidden="1" customWidth="1"/>
    <col min="33" max="33" width="62.5546875" hidden="1" customWidth="1"/>
    <col min="34" max="34" width="70.88671875" hidden="1" customWidth="1"/>
    <col min="35" max="36" width="28.33203125" hidden="1" customWidth="1"/>
    <col min="37" max="43" width="2.109375" hidden="1" customWidth="1"/>
    <col min="44" max="44" width="9.109375" hidden="1" customWidth="1"/>
    <col min="45" max="47" width="9.109375" customWidth="1"/>
  </cols>
  <sheetData>
    <row r="1" spans="2:43" s="9" customFormat="1" x14ac:dyDescent="0.3">
      <c r="AC1" s="716"/>
      <c r="AD1" s="716"/>
      <c r="AE1" s="716"/>
      <c r="AF1" s="8"/>
      <c r="AG1" s="638" t="s">
        <v>13</v>
      </c>
      <c r="AH1" s="639" t="s">
        <v>131</v>
      </c>
    </row>
    <row r="2" spans="2:43" s="9" customFormat="1" ht="23.4" x14ac:dyDescent="0.45">
      <c r="B2" s="46" t="str">
        <f>IF(Language="english", AG2, AH2)</f>
        <v>FP2030 Annual Indicator Calculator: Review FPET Inputs</v>
      </c>
      <c r="AC2" s="716"/>
      <c r="AD2" s="716"/>
      <c r="AE2" s="716"/>
      <c r="AF2" s="8"/>
      <c r="AG2" s="640" t="s">
        <v>1236</v>
      </c>
      <c r="AH2" s="725" t="s">
        <v>1237</v>
      </c>
    </row>
    <row r="3" spans="2:43" s="9" customFormat="1" ht="6.75" customHeight="1" x14ac:dyDescent="0.35">
      <c r="C3" s="2"/>
      <c r="D3" s="2"/>
      <c r="AC3" s="716"/>
      <c r="AD3" s="716"/>
      <c r="AE3" s="716"/>
      <c r="AF3" s="8"/>
      <c r="AG3" s="24"/>
      <c r="AH3" s="24"/>
    </row>
    <row r="4" spans="2:43" s="9" customFormat="1" ht="6.75" customHeight="1" thickBot="1" x14ac:dyDescent="0.35">
      <c r="C4" s="1"/>
      <c r="D4" s="1"/>
      <c r="AC4" s="716"/>
      <c r="AD4" s="716"/>
      <c r="AE4" s="716"/>
      <c r="AF4" s="8"/>
      <c r="AG4" s="24"/>
      <c r="AH4" s="26"/>
    </row>
    <row r="5" spans="2:43" s="9" customFormat="1" ht="18" x14ac:dyDescent="0.35">
      <c r="C5" s="51" t="str">
        <f>IF(Language="English",AG5,AH5)</f>
        <v>Country</v>
      </c>
      <c r="D5" s="865"/>
      <c r="E5" s="865"/>
      <c r="F5" s="865"/>
      <c r="G5" s="865"/>
      <c r="H5" s="865"/>
      <c r="I5" s="865"/>
      <c r="N5" s="870" t="str">
        <f>IF(Language="English", AG6, AH6)</f>
        <v>Yellow Indicates a place where data should be entered.</v>
      </c>
      <c r="O5" s="871"/>
      <c r="P5" s="871"/>
      <c r="Q5" s="871"/>
      <c r="R5" s="872"/>
      <c r="AC5" s="716"/>
      <c r="AD5" s="716"/>
      <c r="AE5" s="716"/>
      <c r="AF5" s="707" t="s">
        <v>1052</v>
      </c>
      <c r="AG5" s="641" t="s">
        <v>29</v>
      </c>
      <c r="AH5" s="24" t="s">
        <v>52</v>
      </c>
      <c r="AK5" s="9" t="s">
        <v>13</v>
      </c>
      <c r="AL5" s="9" t="s">
        <v>125</v>
      </c>
      <c r="AM5" s="9" t="s">
        <v>127</v>
      </c>
      <c r="AN5" s="9" t="str">
        <f>IF(Language="English", AL5, AM5)</f>
        <v>yes</v>
      </c>
      <c r="AO5" s="9" t="s">
        <v>98</v>
      </c>
      <c r="AP5" s="9" t="s">
        <v>147</v>
      </c>
      <c r="AQ5" s="9" t="str">
        <f>IF(Language="English", AO5, AP5)</f>
        <v>All women</v>
      </c>
    </row>
    <row r="6" spans="2:43" s="9" customFormat="1" ht="10.5" customHeight="1" thickBot="1" x14ac:dyDescent="0.4">
      <c r="B6" s="50"/>
      <c r="C6" s="22"/>
      <c r="D6" s="866"/>
      <c r="E6" s="866"/>
      <c r="F6" s="866"/>
      <c r="G6" s="866"/>
      <c r="H6" s="866"/>
      <c r="I6" s="866"/>
      <c r="N6" s="873"/>
      <c r="O6" s="874"/>
      <c r="P6" s="874"/>
      <c r="Q6" s="874"/>
      <c r="R6" s="875"/>
      <c r="AC6" s="716"/>
      <c r="AD6" s="716"/>
      <c r="AE6" s="716"/>
      <c r="AF6" s="8"/>
      <c r="AG6" s="641" t="s">
        <v>748</v>
      </c>
      <c r="AH6" s="24" t="s">
        <v>751</v>
      </c>
      <c r="AK6" s="9" t="s">
        <v>14</v>
      </c>
      <c r="AL6" s="9" t="s">
        <v>126</v>
      </c>
      <c r="AM6" s="9" t="s">
        <v>128</v>
      </c>
      <c r="AN6" s="9" t="str">
        <f>IF(Language="English", AL6, AM6)</f>
        <v>no</v>
      </c>
      <c r="AO6" s="9" t="s">
        <v>123</v>
      </c>
      <c r="AP6" s="9" t="s">
        <v>146</v>
      </c>
      <c r="AQ6" s="9" t="str">
        <f>IF(Language="English", AO6, AP6)</f>
        <v>Married women</v>
      </c>
    </row>
    <row r="7" spans="2:43" s="9" customFormat="1" ht="18.75" customHeight="1" x14ac:dyDescent="0.35">
      <c r="C7" s="51" t="str">
        <f>IF(Language=English,AG7, AH7)</f>
        <v>Language</v>
      </c>
      <c r="D7" s="867" t="s">
        <v>13</v>
      </c>
      <c r="E7" s="867"/>
      <c r="F7" s="867"/>
      <c r="G7" s="867"/>
      <c r="H7" s="867"/>
      <c r="I7" s="867"/>
      <c r="N7" s="876" t="str">
        <f>IF(Language="English", AG8, AH8)</f>
        <v xml:space="preserve">Blue indicates data that has been pre-populated and should be reviewed. </v>
      </c>
      <c r="O7" s="877"/>
      <c r="P7" s="877"/>
      <c r="Q7" s="877"/>
      <c r="R7" s="878"/>
      <c r="AC7" s="716"/>
      <c r="AD7" s="716"/>
      <c r="AE7" s="716"/>
      <c r="AF7" s="8"/>
      <c r="AG7" s="641" t="s">
        <v>12</v>
      </c>
      <c r="AH7" s="24" t="s">
        <v>21</v>
      </c>
    </row>
    <row r="8" spans="2:43" s="9" customFormat="1" ht="12" customHeight="1" thickBot="1" x14ac:dyDescent="0.4">
      <c r="C8" s="51"/>
      <c r="D8" s="868"/>
      <c r="E8" s="868"/>
      <c r="F8" s="868"/>
      <c r="G8" s="868"/>
      <c r="H8" s="868"/>
      <c r="I8" s="868"/>
      <c r="N8" s="879"/>
      <c r="O8" s="880"/>
      <c r="P8" s="880"/>
      <c r="Q8" s="880"/>
      <c r="R8" s="881"/>
      <c r="AC8" s="716"/>
      <c r="AD8" s="716"/>
      <c r="AE8" s="716"/>
      <c r="AF8" s="8"/>
      <c r="AG8" s="641" t="s">
        <v>749</v>
      </c>
      <c r="AH8" s="24" t="s">
        <v>750</v>
      </c>
    </row>
    <row r="9" spans="2:43" s="9" customFormat="1" ht="18" x14ac:dyDescent="0.35">
      <c r="C9" s="51" t="str">
        <f>IF(Language=English,AG9, AH9)</f>
        <v>Region</v>
      </c>
      <c r="D9" s="869" t="e">
        <f>VLOOKUP(Country, 'Region List'!$D$6:$F$246,3, FALSE)</f>
        <v>#N/A</v>
      </c>
      <c r="E9" s="869"/>
      <c r="F9" s="869"/>
      <c r="G9" s="869"/>
      <c r="H9" s="869"/>
      <c r="I9" s="869"/>
      <c r="J9" s="16" t="str">
        <f>IF(Language="english", AG10, AH10)</f>
        <v>(used to select correct regional assumptions)</v>
      </c>
      <c r="AC9" s="716"/>
      <c r="AD9" s="716"/>
      <c r="AE9" s="716"/>
      <c r="AF9" s="8"/>
      <c r="AG9" s="642" t="s">
        <v>235</v>
      </c>
      <c r="AH9" s="642" t="s">
        <v>236</v>
      </c>
    </row>
    <row r="10" spans="2:43" s="9" customFormat="1" ht="15" thickBot="1" x14ac:dyDescent="0.35">
      <c r="AC10" s="716"/>
      <c r="AD10" s="716"/>
      <c r="AE10" s="716"/>
      <c r="AF10" s="8"/>
      <c r="AG10" s="643" t="s">
        <v>408</v>
      </c>
      <c r="AH10" s="256" t="s">
        <v>409</v>
      </c>
      <c r="AL10" s="12"/>
      <c r="AM10" s="12"/>
    </row>
    <row r="11" spans="2:43" s="9" customFormat="1" ht="32.25" customHeight="1" thickBot="1" x14ac:dyDescent="0.35">
      <c r="B11" s="362" t="str">
        <f>IF(Language=English,AG11, AH11)</f>
        <v>1: Record details about your FPET run</v>
      </c>
      <c r="C11" s="57"/>
      <c r="D11" s="57"/>
      <c r="E11" s="57"/>
      <c r="F11" s="57"/>
      <c r="G11" s="57"/>
      <c r="H11" s="57"/>
      <c r="I11" s="57"/>
      <c r="J11" s="57"/>
      <c r="K11" s="842"/>
      <c r="L11" s="842"/>
      <c r="M11" s="842"/>
      <c r="N11" s="842"/>
      <c r="O11" s="842"/>
      <c r="P11" s="842"/>
      <c r="Q11" s="842"/>
      <c r="R11" s="842"/>
      <c r="S11" s="842"/>
      <c r="T11" s="842"/>
      <c r="U11" s="842"/>
      <c r="V11" s="842"/>
      <c r="W11" s="842"/>
      <c r="X11" s="842"/>
      <c r="Y11" s="842"/>
      <c r="Z11" s="842"/>
      <c r="AA11" s="842"/>
      <c r="AB11" s="843"/>
      <c r="AC11" s="721"/>
      <c r="AD11" s="721"/>
      <c r="AE11" s="721"/>
      <c r="AF11" s="696"/>
      <c r="AG11" s="644" t="s">
        <v>973</v>
      </c>
      <c r="AH11" s="644" t="s">
        <v>1217</v>
      </c>
    </row>
    <row r="12" spans="2:43" s="9" customFormat="1" x14ac:dyDescent="0.3">
      <c r="AC12" s="716"/>
      <c r="AD12" s="716"/>
      <c r="AE12" s="716"/>
      <c r="AF12" s="8"/>
      <c r="AG12" s="24"/>
      <c r="AH12" s="24"/>
    </row>
    <row r="13" spans="2:43" s="9" customFormat="1" ht="30.6" customHeight="1" x14ac:dyDescent="0.3">
      <c r="D13" s="246" t="str">
        <f>IF(Language="English", AG13, AH13)</f>
        <v>What is the most recent survey used in your FPET Run?</v>
      </c>
      <c r="E13"/>
      <c r="F13"/>
      <c r="G13"/>
      <c r="H13"/>
      <c r="I13" s="844"/>
      <c r="J13" s="845"/>
      <c r="K13" s="846"/>
      <c r="AC13" s="716"/>
      <c r="AD13" s="716"/>
      <c r="AE13" s="716"/>
      <c r="AF13" s="8"/>
      <c r="AG13" s="246" t="s">
        <v>974</v>
      </c>
      <c r="AH13" s="246" t="s">
        <v>1196</v>
      </c>
    </row>
    <row r="14" spans="2:43" s="9" customFormat="1" x14ac:dyDescent="0.3">
      <c r="E14"/>
      <c r="F14"/>
      <c r="G14"/>
      <c r="H14"/>
      <c r="AC14" s="716"/>
      <c r="AD14" s="716"/>
      <c r="AE14" s="716"/>
      <c r="AF14" s="8"/>
      <c r="AG14" s="24"/>
      <c r="AH14" s="24"/>
    </row>
    <row r="15" spans="2:43" s="9" customFormat="1" ht="29.4" customHeight="1" x14ac:dyDescent="0.3">
      <c r="D15" s="246" t="str">
        <f>IF(Language="English", AG15, AH15)</f>
        <v>Did your FPET run include service statistics?</v>
      </c>
      <c r="E15"/>
      <c r="F15"/>
      <c r="G15"/>
      <c r="H15"/>
      <c r="I15" s="847"/>
      <c r="J15" s="848"/>
      <c r="K15" s="849"/>
      <c r="L15" s="654" t="str">
        <f>IF(Language="English", AG16, AH16)</f>
        <v>Remember: if you use service statistics, please also submit your 'SS to EMU' file</v>
      </c>
      <c r="M15" s="653"/>
      <c r="N15" s="653"/>
      <c r="O15" s="653"/>
      <c r="P15" s="653"/>
      <c r="Q15" s="653"/>
      <c r="R15" s="653"/>
      <c r="S15" s="653"/>
      <c r="T15" s="653"/>
      <c r="U15" s="653"/>
      <c r="V15" s="653"/>
      <c r="W15" s="653"/>
      <c r="X15" s="653"/>
      <c r="Y15" s="653"/>
      <c r="Z15" s="653"/>
      <c r="AA15" s="653"/>
      <c r="AB15" s="653"/>
      <c r="AC15" s="653"/>
      <c r="AD15" s="653"/>
      <c r="AE15" s="653"/>
      <c r="AF15" s="697"/>
      <c r="AG15" s="24" t="s">
        <v>106</v>
      </c>
      <c r="AH15" s="26" t="s">
        <v>134</v>
      </c>
    </row>
    <row r="16" spans="2:43" s="9" customFormat="1" x14ac:dyDescent="0.3">
      <c r="AC16" s="716"/>
      <c r="AD16" s="716"/>
      <c r="AE16" s="716"/>
      <c r="AF16" s="8"/>
      <c r="AG16" s="645" t="s">
        <v>662</v>
      </c>
      <c r="AH16" s="646" t="s">
        <v>663</v>
      </c>
    </row>
    <row r="17" spans="2:35" s="9" customFormat="1" x14ac:dyDescent="0.3">
      <c r="D17" s="850" t="str">
        <f>IF(Language="English", AG17, AH17)</f>
        <v>Tell us about why you chose to use or exclude service statistics:</v>
      </c>
      <c r="E17" s="850"/>
      <c r="F17" s="850"/>
      <c r="G17" s="850"/>
      <c r="H17" s="850"/>
      <c r="I17" s="850"/>
      <c r="J17" s="850"/>
      <c r="K17" s="850"/>
      <c r="L17" s="850"/>
      <c r="M17" s="850"/>
      <c r="N17" s="850"/>
      <c r="O17" s="850"/>
      <c r="P17" s="850"/>
      <c r="Q17" s="850"/>
      <c r="R17" s="850"/>
      <c r="S17" s="850"/>
      <c r="T17" s="850"/>
      <c r="U17" s="850"/>
      <c r="AC17" s="716"/>
      <c r="AD17" s="716"/>
      <c r="AE17" s="716"/>
      <c r="AF17" s="8"/>
      <c r="AG17" s="647" t="s">
        <v>107</v>
      </c>
      <c r="AH17" s="647" t="s">
        <v>135</v>
      </c>
    </row>
    <row r="18" spans="2:35" s="9" customFormat="1" ht="12" customHeight="1" x14ac:dyDescent="0.3">
      <c r="D18" s="852"/>
      <c r="E18" s="853"/>
      <c r="F18" s="853"/>
      <c r="G18" s="853"/>
      <c r="H18" s="853"/>
      <c r="I18" s="853"/>
      <c r="J18" s="853"/>
      <c r="K18" s="853"/>
      <c r="L18" s="853"/>
      <c r="M18" s="853"/>
      <c r="N18" s="853"/>
      <c r="O18" s="853"/>
      <c r="P18" s="853"/>
      <c r="Q18" s="853"/>
      <c r="R18" s="853"/>
      <c r="S18" s="853"/>
      <c r="T18" s="853"/>
      <c r="U18" s="854"/>
      <c r="AC18" s="716"/>
      <c r="AD18" s="716"/>
      <c r="AE18" s="716"/>
      <c r="AF18" s="8"/>
      <c r="AG18" s="24"/>
      <c r="AH18" s="24"/>
    </row>
    <row r="19" spans="2:35" s="9" customFormat="1" ht="12" customHeight="1" x14ac:dyDescent="0.3">
      <c r="D19" s="855"/>
      <c r="E19" s="856"/>
      <c r="F19" s="856"/>
      <c r="G19" s="856"/>
      <c r="H19" s="856"/>
      <c r="I19" s="856"/>
      <c r="J19" s="856"/>
      <c r="K19" s="856"/>
      <c r="L19" s="856"/>
      <c r="M19" s="856"/>
      <c r="N19" s="856"/>
      <c r="O19" s="856"/>
      <c r="P19" s="856"/>
      <c r="Q19" s="856"/>
      <c r="R19" s="856"/>
      <c r="S19" s="856"/>
      <c r="T19" s="856"/>
      <c r="U19" s="857"/>
      <c r="AC19" s="716"/>
      <c r="AD19" s="716"/>
      <c r="AE19" s="716"/>
      <c r="AF19" s="8"/>
      <c r="AG19" s="24"/>
      <c r="AH19" s="24"/>
    </row>
    <row r="20" spans="2:35" s="9" customFormat="1" ht="12" customHeight="1" x14ac:dyDescent="0.3">
      <c r="D20" s="855"/>
      <c r="E20" s="856"/>
      <c r="F20" s="856"/>
      <c r="G20" s="856"/>
      <c r="H20" s="856"/>
      <c r="I20" s="856"/>
      <c r="J20" s="856"/>
      <c r="K20" s="856"/>
      <c r="L20" s="856"/>
      <c r="M20" s="856"/>
      <c r="N20" s="856"/>
      <c r="O20" s="856"/>
      <c r="P20" s="856"/>
      <c r="Q20" s="856"/>
      <c r="R20" s="856"/>
      <c r="S20" s="856"/>
      <c r="T20" s="856"/>
      <c r="U20" s="857"/>
      <c r="AC20" s="716"/>
      <c r="AD20" s="716"/>
      <c r="AE20" s="716"/>
      <c r="AF20" s="8"/>
      <c r="AG20" s="24"/>
      <c r="AH20" s="24"/>
    </row>
    <row r="21" spans="2:35" s="9" customFormat="1" ht="12" customHeight="1" x14ac:dyDescent="0.3">
      <c r="D21" s="855"/>
      <c r="E21" s="856"/>
      <c r="F21" s="856"/>
      <c r="G21" s="856"/>
      <c r="H21" s="856"/>
      <c r="I21" s="856"/>
      <c r="J21" s="856"/>
      <c r="K21" s="856"/>
      <c r="L21" s="856"/>
      <c r="M21" s="856"/>
      <c r="N21" s="856"/>
      <c r="O21" s="856"/>
      <c r="P21" s="856"/>
      <c r="Q21" s="856"/>
      <c r="R21" s="856"/>
      <c r="S21" s="856"/>
      <c r="T21" s="856"/>
      <c r="U21" s="857"/>
      <c r="AC21" s="716"/>
      <c r="AD21" s="716"/>
      <c r="AE21" s="716"/>
      <c r="AF21" s="8"/>
      <c r="AG21" s="24"/>
      <c r="AH21" s="24"/>
    </row>
    <row r="22" spans="2:35" s="9" customFormat="1" ht="12" customHeight="1" x14ac:dyDescent="0.3">
      <c r="D22" s="858"/>
      <c r="E22" s="859"/>
      <c r="F22" s="859"/>
      <c r="G22" s="859"/>
      <c r="H22" s="859"/>
      <c r="I22" s="859"/>
      <c r="J22" s="859"/>
      <c r="K22" s="859"/>
      <c r="L22" s="859"/>
      <c r="M22" s="859"/>
      <c r="N22" s="859"/>
      <c r="O22" s="859"/>
      <c r="P22" s="859"/>
      <c r="Q22" s="859"/>
      <c r="R22" s="859"/>
      <c r="S22" s="859"/>
      <c r="T22" s="859"/>
      <c r="U22" s="860"/>
      <c r="AC22" s="716"/>
      <c r="AD22" s="716"/>
      <c r="AE22" s="716"/>
      <c r="AF22" s="8"/>
      <c r="AG22" s="24"/>
      <c r="AH22" s="24"/>
    </row>
    <row r="23" spans="2:35" s="9" customFormat="1" ht="15" thickBot="1" x14ac:dyDescent="0.35">
      <c r="AC23" s="716"/>
      <c r="AD23" s="716"/>
      <c r="AE23" s="716"/>
      <c r="AF23" s="8"/>
      <c r="AG23" s="24"/>
      <c r="AH23" s="24"/>
    </row>
    <row r="24" spans="2:35" s="9" customFormat="1" ht="22.2" customHeight="1" thickBot="1" x14ac:dyDescent="0.35">
      <c r="B24" s="362" t="str">
        <f>IF(Language=English,AG24, AH24)&amp; " (2012 - 2030)"</f>
        <v>2: Paste in FPET results (2012 - 2030)</v>
      </c>
      <c r="C24" s="57"/>
      <c r="D24" s="57"/>
      <c r="E24" s="57"/>
      <c r="F24" s="57"/>
      <c r="G24" s="57"/>
      <c r="H24" s="57"/>
      <c r="I24" s="57"/>
      <c r="J24" s="57"/>
      <c r="K24" s="842"/>
      <c r="L24" s="842"/>
      <c r="M24" s="842"/>
      <c r="N24" s="842"/>
      <c r="O24" s="842"/>
      <c r="P24" s="842"/>
      <c r="Q24" s="842"/>
      <c r="R24" s="842"/>
      <c r="S24" s="842"/>
      <c r="T24" s="842"/>
      <c r="U24" s="842"/>
      <c r="V24" s="842"/>
      <c r="W24" s="842"/>
      <c r="X24" s="842"/>
      <c r="Y24" s="842"/>
      <c r="Z24" s="842"/>
      <c r="AA24" s="842"/>
      <c r="AB24" s="843"/>
      <c r="AC24" s="721"/>
      <c r="AD24" s="721"/>
      <c r="AE24" s="721"/>
      <c r="AF24" s="696"/>
      <c r="AG24" s="644" t="s">
        <v>975</v>
      </c>
      <c r="AH24" s="644" t="s">
        <v>976</v>
      </c>
    </row>
    <row r="25" spans="2:35" s="716" customFormat="1" ht="22.95" customHeight="1" x14ac:dyDescent="0.4">
      <c r="B25" s="567" t="str">
        <f>IF(Language=English,AG25,AH25)</f>
        <v xml:space="preserve">Paste FPET results into tab labeled "PASTE IN FPET RESULTS". Results should be automatically pulled into this tab for the indicated indicator, year, population, and percentile.  </v>
      </c>
      <c r="C25" s="567"/>
      <c r="D25" s="567"/>
      <c r="E25" s="567"/>
      <c r="F25" s="567"/>
      <c r="G25" s="567"/>
      <c r="H25" s="567"/>
      <c r="I25" s="567"/>
      <c r="J25" s="567"/>
      <c r="K25" s="567"/>
      <c r="L25" s="567"/>
      <c r="M25" s="567"/>
      <c r="N25" s="567"/>
      <c r="O25" s="567"/>
      <c r="P25" s="567"/>
      <c r="Q25" s="567"/>
      <c r="R25" s="567"/>
      <c r="S25" s="567"/>
      <c r="T25" s="567"/>
      <c r="U25" s="567"/>
      <c r="V25" s="567"/>
      <c r="W25" s="567"/>
      <c r="X25" s="568"/>
      <c r="Y25" s="568"/>
      <c r="Z25" s="568"/>
      <c r="AA25" s="568"/>
      <c r="AB25" s="569"/>
      <c r="AC25" s="569"/>
      <c r="AD25" s="569"/>
      <c r="AE25" s="569"/>
      <c r="AF25" s="569"/>
      <c r="AG25" s="645" t="s">
        <v>1119</v>
      </c>
      <c r="AH25" s="645" t="s">
        <v>1257</v>
      </c>
    </row>
    <row r="26" spans="2:35" s="716" customFormat="1" ht="22.95" customHeight="1" x14ac:dyDescent="0.4">
      <c r="B26" s="851" t="str">
        <f>IF(Language=English,AG26,AH26)</f>
        <v>GO TO FPET INPUT TAB TO PASTE IN RESULTS</v>
      </c>
      <c r="C26" s="851"/>
      <c r="D26" s="851"/>
      <c r="E26" s="567"/>
      <c r="F26" s="567"/>
      <c r="G26" s="567"/>
      <c r="H26" s="567"/>
      <c r="I26" s="567"/>
      <c r="J26" s="567"/>
      <c r="K26" s="567"/>
      <c r="L26" s="567"/>
      <c r="M26" s="567"/>
      <c r="N26" s="567"/>
      <c r="O26" s="567"/>
      <c r="P26" s="567"/>
      <c r="Q26" s="567"/>
      <c r="R26" s="567"/>
      <c r="S26" s="567"/>
      <c r="T26" s="567"/>
      <c r="U26" s="567"/>
      <c r="V26" s="567"/>
      <c r="W26" s="567"/>
      <c r="X26" s="568"/>
      <c r="Y26" s="568"/>
      <c r="Z26" s="568"/>
      <c r="AA26" s="568"/>
      <c r="AB26" s="569"/>
      <c r="AC26" s="569"/>
      <c r="AD26" s="569"/>
      <c r="AE26" s="569"/>
      <c r="AF26" s="569"/>
      <c r="AG26" s="645" t="s">
        <v>1218</v>
      </c>
      <c r="AH26" t="s">
        <v>1219</v>
      </c>
    </row>
    <row r="27" spans="2:35" s="716" customFormat="1" ht="22.95" customHeight="1" x14ac:dyDescent="0.4">
      <c r="B27" s="851"/>
      <c r="C27" s="851"/>
      <c r="D27" s="851"/>
      <c r="E27" s="567"/>
      <c r="F27" s="567"/>
      <c r="G27" s="567"/>
      <c r="H27" s="567"/>
      <c r="I27" s="567"/>
      <c r="J27" s="567"/>
      <c r="K27" s="567"/>
      <c r="L27" s="567"/>
      <c r="M27" s="567"/>
      <c r="N27" s="567"/>
      <c r="O27" s="567"/>
      <c r="P27" s="567"/>
      <c r="Q27" s="567"/>
      <c r="R27" s="567"/>
      <c r="S27" s="567"/>
      <c r="T27" s="567"/>
      <c r="U27" s="567"/>
      <c r="V27" s="567"/>
      <c r="W27" s="567"/>
      <c r="X27" s="568"/>
      <c r="Y27" s="568"/>
      <c r="Z27" s="568"/>
      <c r="AA27" s="568"/>
      <c r="AB27" s="569"/>
      <c r="AC27" s="569"/>
      <c r="AD27" s="569"/>
      <c r="AE27" s="569"/>
      <c r="AF27" s="569"/>
      <c r="AG27" s="645"/>
      <c r="AH27" s="645"/>
    </row>
    <row r="28" spans="2:35" s="716" customFormat="1" ht="10.199999999999999" customHeight="1" x14ac:dyDescent="0.4">
      <c r="B28" s="567"/>
      <c r="C28" s="567"/>
      <c r="D28" s="567"/>
      <c r="E28" s="567"/>
      <c r="F28" s="567"/>
      <c r="G28" s="567"/>
      <c r="H28" s="567"/>
      <c r="I28" s="567"/>
      <c r="J28" s="567"/>
      <c r="K28" s="567"/>
      <c r="L28" s="567"/>
      <c r="M28" s="567"/>
      <c r="N28" s="567"/>
      <c r="O28" s="567"/>
      <c r="P28" s="567"/>
      <c r="Q28" s="567"/>
      <c r="R28" s="567"/>
      <c r="S28" s="567"/>
      <c r="T28" s="567"/>
      <c r="U28" s="567"/>
      <c r="V28" s="567"/>
      <c r="W28" s="567"/>
      <c r="X28" s="568"/>
      <c r="Y28" s="568"/>
      <c r="Z28" s="568"/>
      <c r="AA28" s="568"/>
      <c r="AB28" s="569"/>
      <c r="AC28" s="569"/>
      <c r="AD28" s="569"/>
      <c r="AE28" s="569"/>
      <c r="AF28" s="569"/>
      <c r="AG28" s="645"/>
      <c r="AH28" s="645"/>
    </row>
    <row r="29" spans="2:35" s="716" customFormat="1" ht="40.799999999999997" customHeight="1" x14ac:dyDescent="0.4">
      <c r="B29" s="861" t="str">
        <f>IF(Language=English,AG29,AH29)</f>
        <v xml:space="preserve">Check values in the yellow cells below agaist your FPET results and ensure that the values have pulled through correctly. If the values are not correct, you will need to paste the values for each indicator/population/percentile. </v>
      </c>
      <c r="C29" s="861"/>
      <c r="D29" s="861"/>
      <c r="E29" s="861"/>
      <c r="F29" s="861"/>
      <c r="G29" s="861"/>
      <c r="H29" s="861"/>
      <c r="I29" s="861"/>
      <c r="J29" s="861"/>
      <c r="K29" s="861"/>
      <c r="L29" s="861"/>
      <c r="M29" s="861"/>
      <c r="N29" s="861"/>
      <c r="O29" s="861"/>
      <c r="P29" s="861"/>
      <c r="Q29" s="861"/>
      <c r="R29" s="861"/>
      <c r="S29" s="861"/>
      <c r="T29" s="861"/>
      <c r="U29" s="861"/>
      <c r="V29" s="567"/>
      <c r="W29" s="567"/>
      <c r="X29" s="568"/>
      <c r="Y29" s="568"/>
      <c r="Z29" s="568"/>
      <c r="AA29" s="568"/>
      <c r="AB29" s="569"/>
      <c r="AC29" s="569"/>
      <c r="AD29" s="569"/>
      <c r="AE29" s="569"/>
      <c r="AF29" s="569"/>
      <c r="AG29" s="645" t="s">
        <v>1118</v>
      </c>
      <c r="AH29" s="645" t="s">
        <v>1258</v>
      </c>
    </row>
    <row r="30" spans="2:35" s="737" customFormat="1" ht="15.6" customHeight="1" x14ac:dyDescent="0.3">
      <c r="C30" s="743" t="str">
        <f>IF(Language=English,AG30,AH30)</f>
        <v xml:space="preserve">Remember to use the 50th Percentile/Median results. </v>
      </c>
      <c r="D30" s="738"/>
      <c r="E30" s="738"/>
      <c r="F30" s="738"/>
      <c r="G30" s="738"/>
      <c r="H30" s="738"/>
      <c r="I30" s="738"/>
      <c r="J30" s="738"/>
      <c r="K30" s="738"/>
      <c r="L30" s="738"/>
      <c r="M30" s="738"/>
      <c r="N30" s="738"/>
      <c r="O30" s="738"/>
      <c r="P30" s="738"/>
      <c r="Q30" s="738"/>
      <c r="R30" s="738"/>
      <c r="S30" s="738"/>
      <c r="T30" s="738"/>
      <c r="U30" s="738"/>
      <c r="V30" s="738"/>
      <c r="W30" s="738"/>
      <c r="X30" s="739"/>
      <c r="Y30" s="739"/>
      <c r="Z30" s="739"/>
      <c r="AA30" s="739"/>
      <c r="AB30" s="740"/>
      <c r="AC30" s="740"/>
      <c r="AD30" s="740"/>
      <c r="AE30" s="740"/>
      <c r="AF30" s="740"/>
      <c r="AG30" s="741" t="s">
        <v>860</v>
      </c>
      <c r="AH30" s="742" t="s">
        <v>861</v>
      </c>
    </row>
    <row r="31" spans="2:35" s="737" customFormat="1" ht="15.6" customHeight="1" x14ac:dyDescent="0.3">
      <c r="C31" s="743" t="str">
        <f>IF(Language=English,AG31,AH31)</f>
        <v>Use the results for the 2.5 percentile and 97.5 percentile for the uncertainty intervals</v>
      </c>
      <c r="D31" s="738"/>
      <c r="E31" s="738"/>
      <c r="F31" s="738"/>
      <c r="G31" s="738"/>
      <c r="H31" s="738"/>
      <c r="I31" s="738"/>
      <c r="J31" s="738"/>
      <c r="K31" s="738"/>
      <c r="L31" s="738"/>
      <c r="M31" s="738"/>
      <c r="N31" s="738"/>
      <c r="O31" s="738"/>
      <c r="P31" s="738"/>
      <c r="Q31" s="738"/>
      <c r="R31" s="738"/>
      <c r="S31" s="738"/>
      <c r="T31" s="738"/>
      <c r="U31" s="738"/>
      <c r="V31" s="738"/>
      <c r="W31" s="738"/>
      <c r="X31" s="739"/>
      <c r="Y31" s="739"/>
      <c r="Z31" s="739"/>
      <c r="AA31" s="739"/>
      <c r="AB31" s="740"/>
      <c r="AC31" s="740"/>
      <c r="AD31" s="740"/>
      <c r="AE31" s="740"/>
      <c r="AF31" s="740"/>
      <c r="AG31" s="741" t="s">
        <v>970</v>
      </c>
      <c r="AH31" s="742" t="s">
        <v>969</v>
      </c>
    </row>
    <row r="32" spans="2:35" s="9" customFormat="1" ht="3" customHeight="1" x14ac:dyDescent="0.35">
      <c r="C32" s="2"/>
      <c r="D32" s="2"/>
      <c r="E32" s="2"/>
      <c r="F32" s="2"/>
      <c r="G32" s="2"/>
      <c r="H32" s="2"/>
      <c r="J32" s="365"/>
      <c r="K32" s="143"/>
      <c r="L32" s="143"/>
      <c r="M32" s="143"/>
      <c r="N32" s="143"/>
      <c r="O32" s="143"/>
      <c r="P32" s="143"/>
      <c r="Q32" s="143"/>
      <c r="R32" s="143"/>
      <c r="S32" s="143"/>
      <c r="T32" s="143"/>
      <c r="U32" s="143"/>
      <c r="V32" s="143"/>
      <c r="W32" s="143"/>
      <c r="X32" s="143"/>
      <c r="Y32" s="143"/>
      <c r="Z32" s="143"/>
      <c r="AA32" s="143"/>
      <c r="AB32" s="143"/>
      <c r="AC32" s="713"/>
      <c r="AD32" s="713"/>
      <c r="AE32" s="713"/>
      <c r="AF32" s="698"/>
      <c r="AG32" s="24"/>
      <c r="AH32" s="24"/>
      <c r="AI32" s="10"/>
    </row>
    <row r="33" spans="2:36" s="9" customFormat="1" ht="3" customHeight="1" x14ac:dyDescent="0.3">
      <c r="AC33" s="716"/>
      <c r="AD33" s="716"/>
      <c r="AE33" s="716"/>
      <c r="AF33" s="8"/>
      <c r="AG33" s="645" t="s">
        <v>108</v>
      </c>
      <c r="AH33" s="648" t="s">
        <v>130</v>
      </c>
      <c r="AI33" s="10"/>
    </row>
    <row r="34" spans="2:36" s="9" customFormat="1" ht="3" customHeight="1" x14ac:dyDescent="0.3">
      <c r="AC34" s="716"/>
      <c r="AD34" s="716"/>
      <c r="AE34" s="716"/>
      <c r="AF34" s="8"/>
      <c r="AG34" s="645"/>
      <c r="AH34" s="648"/>
      <c r="AI34" s="10"/>
    </row>
    <row r="35" spans="2:36" s="9" customFormat="1" ht="21" x14ac:dyDescent="0.4">
      <c r="B35" s="833" t="str">
        <f>IF(Language=English, AG35, AH35)&amp; " (2012 - 2030)"</f>
        <v>2-A: Married Women Results &amp; Uncertainty Intervals (2012 - 2030)</v>
      </c>
      <c r="C35" s="834"/>
      <c r="D35" s="834"/>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5"/>
      <c r="AC35" s="862" t="s">
        <v>1269</v>
      </c>
      <c r="AD35" s="863"/>
      <c r="AE35" s="863"/>
      <c r="AF35" s="569"/>
      <c r="AG35" s="250" t="s">
        <v>977</v>
      </c>
      <c r="AH35" s="26" t="s">
        <v>978</v>
      </c>
    </row>
    <row r="36" spans="2:36" s="9" customFormat="1" ht="13.8" hidden="1" customHeight="1" x14ac:dyDescent="0.4">
      <c r="B36" s="836"/>
      <c r="C36" s="837"/>
      <c r="D36" s="837"/>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8"/>
      <c r="AC36" s="722"/>
      <c r="AD36" s="722"/>
      <c r="AE36" s="722"/>
      <c r="AF36" s="569"/>
      <c r="AG36" s="250"/>
      <c r="AH36" s="26"/>
    </row>
    <row r="37" spans="2:36" s="9" customFormat="1" ht="18.600000000000001" customHeight="1" x14ac:dyDescent="0.3">
      <c r="E37" s="22"/>
      <c r="F37" s="22"/>
      <c r="G37" s="22"/>
      <c r="H37" s="22"/>
      <c r="I37" s="557">
        <v>2012</v>
      </c>
      <c r="J37" s="557">
        <v>2013</v>
      </c>
      <c r="K37" s="557">
        <v>2014</v>
      </c>
      <c r="L37" s="557">
        <v>2015</v>
      </c>
      <c r="M37" s="557">
        <v>2016</v>
      </c>
      <c r="N37" s="557">
        <v>2017</v>
      </c>
      <c r="O37" s="557">
        <v>2018</v>
      </c>
      <c r="P37" s="557">
        <v>2019</v>
      </c>
      <c r="Q37" s="557">
        <v>2020</v>
      </c>
      <c r="R37" s="557">
        <v>2021</v>
      </c>
      <c r="S37" s="557">
        <v>2022</v>
      </c>
      <c r="T37" s="557">
        <v>2023</v>
      </c>
      <c r="U37" s="557">
        <v>2024</v>
      </c>
      <c r="V37" s="557">
        <v>2025</v>
      </c>
      <c r="W37" s="557">
        <v>2026</v>
      </c>
      <c r="X37" s="557">
        <v>2027</v>
      </c>
      <c r="Y37" s="557">
        <v>2028</v>
      </c>
      <c r="Z37" s="557">
        <v>2029</v>
      </c>
      <c r="AA37" s="557">
        <v>2030</v>
      </c>
      <c r="AC37" s="817" t="s">
        <v>1074</v>
      </c>
      <c r="AD37" s="817" t="s">
        <v>1075</v>
      </c>
      <c r="AE37" s="167" t="s">
        <v>28</v>
      </c>
      <c r="AF37" s="8"/>
      <c r="AG37" s="649" t="s">
        <v>972</v>
      </c>
      <c r="AH37" s="649" t="s">
        <v>971</v>
      </c>
    </row>
    <row r="38" spans="2:36" s="9" customFormat="1" ht="30" customHeight="1" x14ac:dyDescent="0.3">
      <c r="C38" s="832" t="str">
        <f>IF(Language="English", AG37, AH37)</f>
        <v>Median (50 Percentile)</v>
      </c>
      <c r="D38" s="631" t="str">
        <f>IF(Language="English", AG38, AH38)</f>
        <v>CPR among married women</v>
      </c>
      <c r="E38" s="315" t="s">
        <v>511</v>
      </c>
      <c r="F38" s="315">
        <v>50</v>
      </c>
      <c r="G38" s="631" t="s">
        <v>1015</v>
      </c>
      <c r="H38" s="631" t="str">
        <f>G38&amp;E38&amp;F38</f>
        <v>CPMW50</v>
      </c>
      <c r="I38" s="724">
        <f>SUMIFS(INDEX('PASTE IN FPET RESULTS'!$A:$AB,0, MATCH('Review FPET Inputs'!$AE38, 'PASTE IN FPET RESULTS'!$A$1:$AB$1, 0)),  'PASTE IN FPET RESULTS'!$E:$E, $AC38, 'PASTE IN FPET RESULTS'!$F:$F, $AD38, 'PASTE IN FPET RESULTS'!$D:$D, I$37)</f>
        <v>0</v>
      </c>
      <c r="J38" s="724">
        <f>SUMIFS(INDEX('PASTE IN FPET RESULTS'!$A:$AB,0, MATCH('Review FPET Inputs'!$AE38, 'PASTE IN FPET RESULTS'!$A$1:$AB$1, 0)),  'PASTE IN FPET RESULTS'!$E:$E, $AC38, 'PASTE IN FPET RESULTS'!$F:$F, $AD38, 'PASTE IN FPET RESULTS'!$D:$D, 'Review FPET Inputs'!J$92)</f>
        <v>0</v>
      </c>
      <c r="K38" s="724">
        <f>SUMIFS(INDEX('PASTE IN FPET RESULTS'!$A:$AB,0, MATCH('Review FPET Inputs'!$AE38, 'PASTE IN FPET RESULTS'!$A$1:$AB$1, 0)),  'PASTE IN FPET RESULTS'!$E:$E, $AC38, 'PASTE IN FPET RESULTS'!$F:$F, $AD38, 'PASTE IN FPET RESULTS'!$D:$D, 'Review FPET Inputs'!K$92)</f>
        <v>0</v>
      </c>
      <c r="L38" s="724">
        <f>SUMIFS(INDEX('PASTE IN FPET RESULTS'!$A:$AB,0, MATCH('Review FPET Inputs'!$AE38, 'PASTE IN FPET RESULTS'!$A$1:$AB$1, 0)),  'PASTE IN FPET RESULTS'!$E:$E, $AC38, 'PASTE IN FPET RESULTS'!$F:$F, $AD38, 'PASTE IN FPET RESULTS'!$D:$D, 'Review FPET Inputs'!L$92)</f>
        <v>0</v>
      </c>
      <c r="M38" s="724">
        <f>SUMIFS(INDEX('PASTE IN FPET RESULTS'!$A:$AB,0, MATCH('Review FPET Inputs'!$AE38, 'PASTE IN FPET RESULTS'!$A$1:$AB$1, 0)),  'PASTE IN FPET RESULTS'!$E:$E, $AC38, 'PASTE IN FPET RESULTS'!$F:$F, $AD38, 'PASTE IN FPET RESULTS'!$D:$D, 'Review FPET Inputs'!M$92)</f>
        <v>0</v>
      </c>
      <c r="N38" s="724">
        <f>SUMIFS(INDEX('PASTE IN FPET RESULTS'!$A:$AB,0, MATCH('Review FPET Inputs'!$AE38, 'PASTE IN FPET RESULTS'!$A$1:$AB$1, 0)),  'PASTE IN FPET RESULTS'!$E:$E, $AC38, 'PASTE IN FPET RESULTS'!$F:$F, $AD38, 'PASTE IN FPET RESULTS'!$D:$D, 'Review FPET Inputs'!N$92)</f>
        <v>0</v>
      </c>
      <c r="O38" s="724">
        <f>SUMIFS(INDEX('PASTE IN FPET RESULTS'!$A:$AB,0, MATCH('Review FPET Inputs'!$AE38, 'PASTE IN FPET RESULTS'!$A$1:$AB$1, 0)),  'PASTE IN FPET RESULTS'!$E:$E, $AC38, 'PASTE IN FPET RESULTS'!$F:$F, $AD38, 'PASTE IN FPET RESULTS'!$D:$D, 'Review FPET Inputs'!O$92)</f>
        <v>0</v>
      </c>
      <c r="P38" s="724">
        <f>SUMIFS(INDEX('PASTE IN FPET RESULTS'!$A:$AB,0, MATCH('Review FPET Inputs'!$AE38, 'PASTE IN FPET RESULTS'!$A$1:$AB$1, 0)),  'PASTE IN FPET RESULTS'!$E:$E, $AC38, 'PASTE IN FPET RESULTS'!$F:$F, $AD38, 'PASTE IN FPET RESULTS'!$D:$D, 'Review FPET Inputs'!P$92)</f>
        <v>0</v>
      </c>
      <c r="Q38" s="724">
        <f>SUMIFS(INDEX('PASTE IN FPET RESULTS'!$A:$AB,0, MATCH('Review FPET Inputs'!$AE38, 'PASTE IN FPET RESULTS'!$A$1:$AB$1, 0)),  'PASTE IN FPET RESULTS'!$E:$E, $AC38, 'PASTE IN FPET RESULTS'!$F:$F, $AD38, 'PASTE IN FPET RESULTS'!$D:$D, 'Review FPET Inputs'!Q$92)</f>
        <v>0</v>
      </c>
      <c r="R38" s="724">
        <f>SUMIFS(INDEX('PASTE IN FPET RESULTS'!$A:$AB,0, MATCH('Review FPET Inputs'!$AE38, 'PASTE IN FPET RESULTS'!$A$1:$AB$1, 0)),  'PASTE IN FPET RESULTS'!$E:$E, $AC38, 'PASTE IN FPET RESULTS'!$F:$F, $AD38, 'PASTE IN FPET RESULTS'!$D:$D, 'Review FPET Inputs'!R$92)</f>
        <v>0</v>
      </c>
      <c r="S38" s="724">
        <f>SUMIFS(INDEX('PASTE IN FPET RESULTS'!$A:$AB,0, MATCH('Review FPET Inputs'!$AE38, 'PASTE IN FPET RESULTS'!$A$1:$AB$1, 0)),  'PASTE IN FPET RESULTS'!$E:$E, $AC38, 'PASTE IN FPET RESULTS'!$F:$F, $AD38, 'PASTE IN FPET RESULTS'!$D:$D, 'Review FPET Inputs'!S$92)</f>
        <v>0</v>
      </c>
      <c r="T38" s="724">
        <f>SUMIFS(INDEX('PASTE IN FPET RESULTS'!$A:$AB,0, MATCH('Review FPET Inputs'!$AE38, 'PASTE IN FPET RESULTS'!$A$1:$AB$1, 0)),  'PASTE IN FPET RESULTS'!$E:$E, $AC38, 'PASTE IN FPET RESULTS'!$F:$F, $AD38, 'PASTE IN FPET RESULTS'!$D:$D, 'Review FPET Inputs'!T$92)</f>
        <v>0</v>
      </c>
      <c r="U38" s="724">
        <f>SUMIFS(INDEX('PASTE IN FPET RESULTS'!$A:$AB,0, MATCH('Review FPET Inputs'!$AE38, 'PASTE IN FPET RESULTS'!$A$1:$AB$1, 0)),  'PASTE IN FPET RESULTS'!$E:$E, $AC38, 'PASTE IN FPET RESULTS'!$F:$F, $AD38, 'PASTE IN FPET RESULTS'!$D:$D, 'Review FPET Inputs'!U$92)</f>
        <v>0</v>
      </c>
      <c r="V38" s="724">
        <f>SUMIFS(INDEX('PASTE IN FPET RESULTS'!$A:$AB,0, MATCH('Review FPET Inputs'!$AE38, 'PASTE IN FPET RESULTS'!$A$1:$AB$1, 0)),  'PASTE IN FPET RESULTS'!$E:$E, $AC38, 'PASTE IN FPET RESULTS'!$F:$F, $AD38, 'PASTE IN FPET RESULTS'!$D:$D, 'Review FPET Inputs'!V$92)</f>
        <v>0</v>
      </c>
      <c r="W38" s="724">
        <f>SUMIFS(INDEX('PASTE IN FPET RESULTS'!$A:$AB,0, MATCH('Review FPET Inputs'!$AE38, 'PASTE IN FPET RESULTS'!$A$1:$AB$1, 0)),  'PASTE IN FPET RESULTS'!$E:$E, $AC38, 'PASTE IN FPET RESULTS'!$F:$F, $AD38, 'PASTE IN FPET RESULTS'!$D:$D, 'Review FPET Inputs'!W$92)</f>
        <v>0</v>
      </c>
      <c r="X38" s="724">
        <f>SUMIFS(INDEX('PASTE IN FPET RESULTS'!$A:$AB,0, MATCH('Review FPET Inputs'!$AE38, 'PASTE IN FPET RESULTS'!$A$1:$AB$1, 0)),  'PASTE IN FPET RESULTS'!$E:$E, $AC38, 'PASTE IN FPET RESULTS'!$F:$F, $AD38, 'PASTE IN FPET RESULTS'!$D:$D, 'Review FPET Inputs'!X$92)</f>
        <v>0</v>
      </c>
      <c r="Y38" s="724">
        <f>SUMIFS(INDEX('PASTE IN FPET RESULTS'!$A:$AB,0, MATCH('Review FPET Inputs'!$AE38, 'PASTE IN FPET RESULTS'!$A$1:$AB$1, 0)),  'PASTE IN FPET RESULTS'!$E:$E, $AC38, 'PASTE IN FPET RESULTS'!$F:$F, $AD38, 'PASTE IN FPET RESULTS'!$D:$D, 'Review FPET Inputs'!Y$92)</f>
        <v>0</v>
      </c>
      <c r="Z38" s="724">
        <f>SUMIFS(INDEX('PASTE IN FPET RESULTS'!$A:$AB,0, MATCH('Review FPET Inputs'!$AE38, 'PASTE IN FPET RESULTS'!$A$1:$AB$1, 0)),  'PASTE IN FPET RESULTS'!$E:$E, $AC38, 'PASTE IN FPET RESULTS'!$F:$F, $AD38, 'PASTE IN FPET RESULTS'!$D:$D, 'Review FPET Inputs'!Z$92)</f>
        <v>0</v>
      </c>
      <c r="AA38" s="724">
        <f>SUMIFS(INDEX('PASTE IN FPET RESULTS'!$A:$AB,0, MATCH('Review FPET Inputs'!$AE38, 'PASTE IN FPET RESULTS'!$A$1:$AB$1, 0)),  'PASTE IN FPET RESULTS'!$E:$E, $AC38, 'PASTE IN FPET RESULTS'!$F:$F, $AD38, 'PASTE IN FPET RESULTS'!$D:$D, 'Review FPET Inputs'!AA$92)</f>
        <v>0</v>
      </c>
      <c r="AC38" s="817" t="s">
        <v>1266</v>
      </c>
      <c r="AD38" s="817" t="s">
        <v>1098</v>
      </c>
      <c r="AE38" s="817" t="s">
        <v>1077</v>
      </c>
      <c r="AF38" s="8"/>
      <c r="AG38" s="650" t="s">
        <v>631</v>
      </c>
      <c r="AH38" s="651" t="s">
        <v>632</v>
      </c>
    </row>
    <row r="39" spans="2:36" s="9" customFormat="1" ht="30" customHeight="1" x14ac:dyDescent="0.3">
      <c r="C39" s="832"/>
      <c r="D39" s="631" t="str">
        <f>IF(Language="English", AG39, AH39)</f>
        <v>mCPR among married women</v>
      </c>
      <c r="E39" s="315" t="s">
        <v>511</v>
      </c>
      <c r="F39" s="315">
        <v>50</v>
      </c>
      <c r="G39" s="631" t="s">
        <v>1014</v>
      </c>
      <c r="H39" s="631" t="str">
        <f>G39&amp;E39&amp;F39</f>
        <v>mCPMW50</v>
      </c>
      <c r="I39" s="724">
        <f>SUMIFS(INDEX('PASTE IN FPET RESULTS'!$A:$AB,0, MATCH('Review FPET Inputs'!$AE39, 'PASTE IN FPET RESULTS'!$A$1:$AB$1, 0)),  'PASTE IN FPET RESULTS'!$E:$E, $AC39, 'PASTE IN FPET RESULTS'!$F:$F, $AD39, 'PASTE IN FPET RESULTS'!$D:$D, I$37)</f>
        <v>0</v>
      </c>
      <c r="J39" s="724">
        <f>SUMIFS(INDEX('PASTE IN FPET RESULTS'!$A:$AB,0, MATCH('Review FPET Inputs'!$AE39, 'PASTE IN FPET RESULTS'!$A$1:$AB$1, 0)),  'PASTE IN FPET RESULTS'!$E:$E, $AC39, 'PASTE IN FPET RESULTS'!$F:$F, $AD39, 'PASTE IN FPET RESULTS'!$D:$D, 'Review FPET Inputs'!J$92)</f>
        <v>0</v>
      </c>
      <c r="K39" s="724">
        <f>SUMIFS(INDEX('PASTE IN FPET RESULTS'!$A:$AB,0, MATCH('Review FPET Inputs'!$AE39, 'PASTE IN FPET RESULTS'!$A$1:$AB$1, 0)),  'PASTE IN FPET RESULTS'!$E:$E, $AC39, 'PASTE IN FPET RESULTS'!$F:$F, $AD39, 'PASTE IN FPET RESULTS'!$D:$D, 'Review FPET Inputs'!K$92)</f>
        <v>0</v>
      </c>
      <c r="L39" s="724">
        <f>SUMIFS(INDEX('PASTE IN FPET RESULTS'!$A:$AB,0, MATCH('Review FPET Inputs'!$AE39, 'PASTE IN FPET RESULTS'!$A$1:$AB$1, 0)),  'PASTE IN FPET RESULTS'!$E:$E, $AC39, 'PASTE IN FPET RESULTS'!$F:$F, $AD39, 'PASTE IN FPET RESULTS'!$D:$D, 'Review FPET Inputs'!L$92)</f>
        <v>0</v>
      </c>
      <c r="M39" s="724">
        <f>SUMIFS(INDEX('PASTE IN FPET RESULTS'!$A:$AB,0, MATCH('Review FPET Inputs'!$AE39, 'PASTE IN FPET RESULTS'!$A$1:$AB$1, 0)),  'PASTE IN FPET RESULTS'!$E:$E, $AC39, 'PASTE IN FPET RESULTS'!$F:$F, $AD39, 'PASTE IN FPET RESULTS'!$D:$D, 'Review FPET Inputs'!M$92)</f>
        <v>0</v>
      </c>
      <c r="N39" s="724">
        <f>SUMIFS(INDEX('PASTE IN FPET RESULTS'!$A:$AB,0, MATCH('Review FPET Inputs'!$AE39, 'PASTE IN FPET RESULTS'!$A$1:$AB$1, 0)),  'PASTE IN FPET RESULTS'!$E:$E, $AC39, 'PASTE IN FPET RESULTS'!$F:$F, $AD39, 'PASTE IN FPET RESULTS'!$D:$D, 'Review FPET Inputs'!N$92)</f>
        <v>0</v>
      </c>
      <c r="O39" s="724">
        <f>SUMIFS(INDEX('PASTE IN FPET RESULTS'!$A:$AB,0, MATCH('Review FPET Inputs'!$AE39, 'PASTE IN FPET RESULTS'!$A$1:$AB$1, 0)),  'PASTE IN FPET RESULTS'!$E:$E, $AC39, 'PASTE IN FPET RESULTS'!$F:$F, $AD39, 'PASTE IN FPET RESULTS'!$D:$D, 'Review FPET Inputs'!O$92)</f>
        <v>0</v>
      </c>
      <c r="P39" s="724">
        <f>SUMIFS(INDEX('PASTE IN FPET RESULTS'!$A:$AB,0, MATCH('Review FPET Inputs'!$AE39, 'PASTE IN FPET RESULTS'!$A$1:$AB$1, 0)),  'PASTE IN FPET RESULTS'!$E:$E, $AC39, 'PASTE IN FPET RESULTS'!$F:$F, $AD39, 'PASTE IN FPET RESULTS'!$D:$D, 'Review FPET Inputs'!P$92)</f>
        <v>0</v>
      </c>
      <c r="Q39" s="724">
        <f>SUMIFS(INDEX('PASTE IN FPET RESULTS'!$A:$AB,0, MATCH('Review FPET Inputs'!$AE39, 'PASTE IN FPET RESULTS'!$A$1:$AB$1, 0)),  'PASTE IN FPET RESULTS'!$E:$E, $AC39, 'PASTE IN FPET RESULTS'!$F:$F, $AD39, 'PASTE IN FPET RESULTS'!$D:$D, 'Review FPET Inputs'!Q$92)</f>
        <v>0</v>
      </c>
      <c r="R39" s="724">
        <f>SUMIFS(INDEX('PASTE IN FPET RESULTS'!$A:$AB,0, MATCH('Review FPET Inputs'!$AE39, 'PASTE IN FPET RESULTS'!$A$1:$AB$1, 0)),  'PASTE IN FPET RESULTS'!$E:$E, $AC39, 'PASTE IN FPET RESULTS'!$F:$F, $AD39, 'PASTE IN FPET RESULTS'!$D:$D, 'Review FPET Inputs'!R$92)</f>
        <v>0</v>
      </c>
      <c r="S39" s="724">
        <f>SUMIFS(INDEX('PASTE IN FPET RESULTS'!$A:$AB,0, MATCH('Review FPET Inputs'!$AE39, 'PASTE IN FPET RESULTS'!$A$1:$AB$1, 0)),  'PASTE IN FPET RESULTS'!$E:$E, $AC39, 'PASTE IN FPET RESULTS'!$F:$F, $AD39, 'PASTE IN FPET RESULTS'!$D:$D, 'Review FPET Inputs'!S$92)</f>
        <v>0</v>
      </c>
      <c r="T39" s="724">
        <f>SUMIFS(INDEX('PASTE IN FPET RESULTS'!$A:$AB,0, MATCH('Review FPET Inputs'!$AE39, 'PASTE IN FPET RESULTS'!$A$1:$AB$1, 0)),  'PASTE IN FPET RESULTS'!$E:$E, $AC39, 'PASTE IN FPET RESULTS'!$F:$F, $AD39, 'PASTE IN FPET RESULTS'!$D:$D, 'Review FPET Inputs'!T$92)</f>
        <v>0</v>
      </c>
      <c r="U39" s="724">
        <f>SUMIFS(INDEX('PASTE IN FPET RESULTS'!$A:$AB,0, MATCH('Review FPET Inputs'!$AE39, 'PASTE IN FPET RESULTS'!$A$1:$AB$1, 0)),  'PASTE IN FPET RESULTS'!$E:$E, $AC39, 'PASTE IN FPET RESULTS'!$F:$F, $AD39, 'PASTE IN FPET RESULTS'!$D:$D, 'Review FPET Inputs'!U$92)</f>
        <v>0</v>
      </c>
      <c r="V39" s="724">
        <f>SUMIFS(INDEX('PASTE IN FPET RESULTS'!$A:$AB,0, MATCH('Review FPET Inputs'!$AE39, 'PASTE IN FPET RESULTS'!$A$1:$AB$1, 0)),  'PASTE IN FPET RESULTS'!$E:$E, $AC39, 'PASTE IN FPET RESULTS'!$F:$F, $AD39, 'PASTE IN FPET RESULTS'!$D:$D, 'Review FPET Inputs'!V$92)</f>
        <v>0</v>
      </c>
      <c r="W39" s="724">
        <f>SUMIFS(INDEX('PASTE IN FPET RESULTS'!$A:$AB,0, MATCH('Review FPET Inputs'!$AE39, 'PASTE IN FPET RESULTS'!$A$1:$AB$1, 0)),  'PASTE IN FPET RESULTS'!$E:$E, $AC39, 'PASTE IN FPET RESULTS'!$F:$F, $AD39, 'PASTE IN FPET RESULTS'!$D:$D, 'Review FPET Inputs'!W$92)</f>
        <v>0</v>
      </c>
      <c r="X39" s="724">
        <f>SUMIFS(INDEX('PASTE IN FPET RESULTS'!$A:$AB,0, MATCH('Review FPET Inputs'!$AE39, 'PASTE IN FPET RESULTS'!$A$1:$AB$1, 0)),  'PASTE IN FPET RESULTS'!$E:$E, $AC39, 'PASTE IN FPET RESULTS'!$F:$F, $AD39, 'PASTE IN FPET RESULTS'!$D:$D, 'Review FPET Inputs'!X$92)</f>
        <v>0</v>
      </c>
      <c r="Y39" s="724">
        <f>SUMIFS(INDEX('PASTE IN FPET RESULTS'!$A:$AB,0, MATCH('Review FPET Inputs'!$AE39, 'PASTE IN FPET RESULTS'!$A$1:$AB$1, 0)),  'PASTE IN FPET RESULTS'!$E:$E, $AC39, 'PASTE IN FPET RESULTS'!$F:$F, $AD39, 'PASTE IN FPET RESULTS'!$D:$D, 'Review FPET Inputs'!Y$92)</f>
        <v>0</v>
      </c>
      <c r="Z39" s="724">
        <f>SUMIFS(INDEX('PASTE IN FPET RESULTS'!$A:$AB,0, MATCH('Review FPET Inputs'!$AE39, 'PASTE IN FPET RESULTS'!$A$1:$AB$1, 0)),  'PASTE IN FPET RESULTS'!$E:$E, $AC39, 'PASTE IN FPET RESULTS'!$F:$F, $AD39, 'PASTE IN FPET RESULTS'!$D:$D, 'Review FPET Inputs'!Z$92)</f>
        <v>0</v>
      </c>
      <c r="AA39" s="724">
        <f>SUMIFS(INDEX('PASTE IN FPET RESULTS'!$A:$AB,0, MATCH('Review FPET Inputs'!$AE39, 'PASTE IN FPET RESULTS'!$A$1:$AB$1, 0)),  'PASTE IN FPET RESULTS'!$E:$E, $AC39, 'PASTE IN FPET RESULTS'!$F:$F, $AD39, 'PASTE IN FPET RESULTS'!$D:$D, 'Review FPET Inputs'!AA$92)</f>
        <v>0</v>
      </c>
      <c r="AC39" s="817" t="s">
        <v>1266</v>
      </c>
      <c r="AD39" s="817" t="s">
        <v>1098</v>
      </c>
      <c r="AE39" s="817" t="s">
        <v>1079</v>
      </c>
      <c r="AF39" s="8"/>
      <c r="AG39" s="650" t="s">
        <v>113</v>
      </c>
      <c r="AH39" s="651" t="s">
        <v>114</v>
      </c>
      <c r="AI39" s="619"/>
      <c r="AJ39" s="619"/>
    </row>
    <row r="40" spans="2:36" s="44" customFormat="1" ht="30" customHeight="1" x14ac:dyDescent="0.3">
      <c r="C40" s="832"/>
      <c r="D40" s="631" t="str">
        <f>IF(Language="English", AG40, AH40)</f>
        <v>Demand Satisfied with modern methods (married)</v>
      </c>
      <c r="E40" s="315" t="s">
        <v>511</v>
      </c>
      <c r="F40" s="315">
        <v>50</v>
      </c>
      <c r="G40" s="631" t="s">
        <v>1016</v>
      </c>
      <c r="H40" s="631" t="str">
        <f>G40&amp;E40&amp;F40</f>
        <v>mDSMW50</v>
      </c>
      <c r="I40" s="724">
        <f>SUMIFS(INDEX('PASTE IN FPET RESULTS'!$A:$AB,0, MATCH('Review FPET Inputs'!$AE40, 'PASTE IN FPET RESULTS'!$A$1:$AB$1, 0)),  'PASTE IN FPET RESULTS'!$E:$E, $AC40, 'PASTE IN FPET RESULTS'!$F:$F, $AD40, 'PASTE IN FPET RESULTS'!$D:$D, I$37)</f>
        <v>0</v>
      </c>
      <c r="J40" s="724">
        <f>SUMIFS(INDEX('PASTE IN FPET RESULTS'!$A:$AB,0, MATCH('Review FPET Inputs'!$AE40, 'PASTE IN FPET RESULTS'!$A$1:$AB$1, 0)),  'PASTE IN FPET RESULTS'!$E:$E, $AC40, 'PASTE IN FPET RESULTS'!$F:$F, $AD40, 'PASTE IN FPET RESULTS'!$D:$D, 'Review FPET Inputs'!J$92)</f>
        <v>0</v>
      </c>
      <c r="K40" s="724">
        <f>SUMIFS(INDEX('PASTE IN FPET RESULTS'!$A:$AB,0, MATCH('Review FPET Inputs'!$AE40, 'PASTE IN FPET RESULTS'!$A$1:$AB$1, 0)),  'PASTE IN FPET RESULTS'!$E:$E, $AC40, 'PASTE IN FPET RESULTS'!$F:$F, $AD40, 'PASTE IN FPET RESULTS'!$D:$D, 'Review FPET Inputs'!K$92)</f>
        <v>0</v>
      </c>
      <c r="L40" s="724">
        <f>SUMIFS(INDEX('PASTE IN FPET RESULTS'!$A:$AB,0, MATCH('Review FPET Inputs'!$AE40, 'PASTE IN FPET RESULTS'!$A$1:$AB$1, 0)),  'PASTE IN FPET RESULTS'!$E:$E, $AC40, 'PASTE IN FPET RESULTS'!$F:$F, $AD40, 'PASTE IN FPET RESULTS'!$D:$D, 'Review FPET Inputs'!L$92)</f>
        <v>0</v>
      </c>
      <c r="M40" s="724">
        <f>SUMIFS(INDEX('PASTE IN FPET RESULTS'!$A:$AB,0, MATCH('Review FPET Inputs'!$AE40, 'PASTE IN FPET RESULTS'!$A$1:$AB$1, 0)),  'PASTE IN FPET RESULTS'!$E:$E, $AC40, 'PASTE IN FPET RESULTS'!$F:$F, $AD40, 'PASTE IN FPET RESULTS'!$D:$D, 'Review FPET Inputs'!M$92)</f>
        <v>0</v>
      </c>
      <c r="N40" s="724">
        <f>SUMIFS(INDEX('PASTE IN FPET RESULTS'!$A:$AB,0, MATCH('Review FPET Inputs'!$AE40, 'PASTE IN FPET RESULTS'!$A$1:$AB$1, 0)),  'PASTE IN FPET RESULTS'!$E:$E, $AC40, 'PASTE IN FPET RESULTS'!$F:$F, $AD40, 'PASTE IN FPET RESULTS'!$D:$D, 'Review FPET Inputs'!N$92)</f>
        <v>0</v>
      </c>
      <c r="O40" s="724">
        <f>SUMIFS(INDEX('PASTE IN FPET RESULTS'!$A:$AB,0, MATCH('Review FPET Inputs'!$AE40, 'PASTE IN FPET RESULTS'!$A$1:$AB$1, 0)),  'PASTE IN FPET RESULTS'!$E:$E, $AC40, 'PASTE IN FPET RESULTS'!$F:$F, $AD40, 'PASTE IN FPET RESULTS'!$D:$D, 'Review FPET Inputs'!O$92)</f>
        <v>0</v>
      </c>
      <c r="P40" s="724">
        <f>SUMIFS(INDEX('PASTE IN FPET RESULTS'!$A:$AB,0, MATCH('Review FPET Inputs'!$AE40, 'PASTE IN FPET RESULTS'!$A$1:$AB$1, 0)),  'PASTE IN FPET RESULTS'!$E:$E, $AC40, 'PASTE IN FPET RESULTS'!$F:$F, $AD40, 'PASTE IN FPET RESULTS'!$D:$D, 'Review FPET Inputs'!P$92)</f>
        <v>0</v>
      </c>
      <c r="Q40" s="724">
        <f>SUMIFS(INDEX('PASTE IN FPET RESULTS'!$A:$AB,0, MATCH('Review FPET Inputs'!$AE40, 'PASTE IN FPET RESULTS'!$A$1:$AB$1, 0)),  'PASTE IN FPET RESULTS'!$E:$E, $AC40, 'PASTE IN FPET RESULTS'!$F:$F, $AD40, 'PASTE IN FPET RESULTS'!$D:$D, 'Review FPET Inputs'!Q$92)</f>
        <v>0</v>
      </c>
      <c r="R40" s="724">
        <f>SUMIFS(INDEX('PASTE IN FPET RESULTS'!$A:$AB,0, MATCH('Review FPET Inputs'!$AE40, 'PASTE IN FPET RESULTS'!$A$1:$AB$1, 0)),  'PASTE IN FPET RESULTS'!$E:$E, $AC40, 'PASTE IN FPET RESULTS'!$F:$F, $AD40, 'PASTE IN FPET RESULTS'!$D:$D, 'Review FPET Inputs'!R$92)</f>
        <v>0</v>
      </c>
      <c r="S40" s="724">
        <f>SUMIFS(INDEX('PASTE IN FPET RESULTS'!$A:$AB,0, MATCH('Review FPET Inputs'!$AE40, 'PASTE IN FPET RESULTS'!$A$1:$AB$1, 0)),  'PASTE IN FPET RESULTS'!$E:$E, $AC40, 'PASTE IN FPET RESULTS'!$F:$F, $AD40, 'PASTE IN FPET RESULTS'!$D:$D, 'Review FPET Inputs'!S$92)</f>
        <v>0</v>
      </c>
      <c r="T40" s="724">
        <f>SUMIFS(INDEX('PASTE IN FPET RESULTS'!$A:$AB,0, MATCH('Review FPET Inputs'!$AE40, 'PASTE IN FPET RESULTS'!$A$1:$AB$1, 0)),  'PASTE IN FPET RESULTS'!$E:$E, $AC40, 'PASTE IN FPET RESULTS'!$F:$F, $AD40, 'PASTE IN FPET RESULTS'!$D:$D, 'Review FPET Inputs'!T$92)</f>
        <v>0</v>
      </c>
      <c r="U40" s="724">
        <f>SUMIFS(INDEX('PASTE IN FPET RESULTS'!$A:$AB,0, MATCH('Review FPET Inputs'!$AE40, 'PASTE IN FPET RESULTS'!$A$1:$AB$1, 0)),  'PASTE IN FPET RESULTS'!$E:$E, $AC40, 'PASTE IN FPET RESULTS'!$F:$F, $AD40, 'PASTE IN FPET RESULTS'!$D:$D, 'Review FPET Inputs'!U$92)</f>
        <v>0</v>
      </c>
      <c r="V40" s="724">
        <f>SUMIFS(INDEX('PASTE IN FPET RESULTS'!$A:$AB,0, MATCH('Review FPET Inputs'!$AE40, 'PASTE IN FPET RESULTS'!$A$1:$AB$1, 0)),  'PASTE IN FPET RESULTS'!$E:$E, $AC40, 'PASTE IN FPET RESULTS'!$F:$F, $AD40, 'PASTE IN FPET RESULTS'!$D:$D, 'Review FPET Inputs'!V$92)</f>
        <v>0</v>
      </c>
      <c r="W40" s="724">
        <f>SUMIFS(INDEX('PASTE IN FPET RESULTS'!$A:$AB,0, MATCH('Review FPET Inputs'!$AE40, 'PASTE IN FPET RESULTS'!$A$1:$AB$1, 0)),  'PASTE IN FPET RESULTS'!$E:$E, $AC40, 'PASTE IN FPET RESULTS'!$F:$F, $AD40, 'PASTE IN FPET RESULTS'!$D:$D, 'Review FPET Inputs'!W$92)</f>
        <v>0</v>
      </c>
      <c r="X40" s="724">
        <f>SUMIFS(INDEX('PASTE IN FPET RESULTS'!$A:$AB,0, MATCH('Review FPET Inputs'!$AE40, 'PASTE IN FPET RESULTS'!$A$1:$AB$1, 0)),  'PASTE IN FPET RESULTS'!$E:$E, $AC40, 'PASTE IN FPET RESULTS'!$F:$F, $AD40, 'PASTE IN FPET RESULTS'!$D:$D, 'Review FPET Inputs'!X$92)</f>
        <v>0</v>
      </c>
      <c r="Y40" s="724">
        <f>SUMIFS(INDEX('PASTE IN FPET RESULTS'!$A:$AB,0, MATCH('Review FPET Inputs'!$AE40, 'PASTE IN FPET RESULTS'!$A$1:$AB$1, 0)),  'PASTE IN FPET RESULTS'!$E:$E, $AC40, 'PASTE IN FPET RESULTS'!$F:$F, $AD40, 'PASTE IN FPET RESULTS'!$D:$D, 'Review FPET Inputs'!Y$92)</f>
        <v>0</v>
      </c>
      <c r="Z40" s="724">
        <f>SUMIFS(INDEX('PASTE IN FPET RESULTS'!$A:$AB,0, MATCH('Review FPET Inputs'!$AE40, 'PASTE IN FPET RESULTS'!$A$1:$AB$1, 0)),  'PASTE IN FPET RESULTS'!$E:$E, $AC40, 'PASTE IN FPET RESULTS'!$F:$F, $AD40, 'PASTE IN FPET RESULTS'!$D:$D, 'Review FPET Inputs'!Z$92)</f>
        <v>0</v>
      </c>
      <c r="AA40" s="724">
        <f>SUMIFS(INDEX('PASTE IN FPET RESULTS'!$A:$AB,0, MATCH('Review FPET Inputs'!$AE40, 'PASTE IN FPET RESULTS'!$A$1:$AB$1, 0)),  'PASTE IN FPET RESULTS'!$E:$E, $AC40, 'PASTE IN FPET RESULTS'!$F:$F, $AD40, 'PASTE IN FPET RESULTS'!$D:$D, 'Review FPET Inputs'!AA$92)</f>
        <v>0</v>
      </c>
      <c r="AC40" s="817" t="s">
        <v>1266</v>
      </c>
      <c r="AD40" s="817" t="s">
        <v>1098</v>
      </c>
      <c r="AE40" s="817" t="s">
        <v>1089</v>
      </c>
      <c r="AF40" s="681"/>
      <c r="AG40" s="233" t="s">
        <v>702</v>
      </c>
      <c r="AH40" s="652" t="s">
        <v>793</v>
      </c>
      <c r="AI40" s="619"/>
      <c r="AJ40" s="619"/>
    </row>
    <row r="41" spans="2:36" s="44" customFormat="1" ht="30" customHeight="1" x14ac:dyDescent="0.3">
      <c r="C41" s="832"/>
      <c r="D41" s="631" t="str">
        <f>IF(Language="English", AG41, AH41)</f>
        <v>Unmet need for modern methods (married)</v>
      </c>
      <c r="E41" s="315" t="s">
        <v>511</v>
      </c>
      <c r="F41" s="315">
        <v>50</v>
      </c>
      <c r="G41" s="631" t="s">
        <v>1017</v>
      </c>
      <c r="H41" s="631" t="str">
        <f>G41&amp;E41&amp;F41</f>
        <v>mUNMW50</v>
      </c>
      <c r="I41" s="724">
        <f>SUMIFS(INDEX('PASTE IN FPET RESULTS'!$A:$AB,0, MATCH('Review FPET Inputs'!$AE41, 'PASTE IN FPET RESULTS'!$A$1:$AB$1, 0)),  'PASTE IN FPET RESULTS'!$E:$E, $AC41, 'PASTE IN FPET RESULTS'!$F:$F, $AD41, 'PASTE IN FPET RESULTS'!$D:$D, I$37)</f>
        <v>0</v>
      </c>
      <c r="J41" s="724">
        <f>SUMIFS(INDEX('PASTE IN FPET RESULTS'!$A:$AB,0, MATCH('Review FPET Inputs'!$AE41, 'PASTE IN FPET RESULTS'!$A$1:$AB$1, 0)),  'PASTE IN FPET RESULTS'!$E:$E, $AC41, 'PASTE IN FPET RESULTS'!$F:$F, $AD41, 'PASTE IN FPET RESULTS'!$D:$D, 'Review FPET Inputs'!J$92)</f>
        <v>0</v>
      </c>
      <c r="K41" s="724">
        <f>SUMIFS(INDEX('PASTE IN FPET RESULTS'!$A:$AB,0, MATCH('Review FPET Inputs'!$AE41, 'PASTE IN FPET RESULTS'!$A$1:$AB$1, 0)),  'PASTE IN FPET RESULTS'!$E:$E, $AC41, 'PASTE IN FPET RESULTS'!$F:$F, $AD41, 'PASTE IN FPET RESULTS'!$D:$D, 'Review FPET Inputs'!K$92)</f>
        <v>0</v>
      </c>
      <c r="L41" s="724">
        <f>SUMIFS(INDEX('PASTE IN FPET RESULTS'!$A:$AB,0, MATCH('Review FPET Inputs'!$AE41, 'PASTE IN FPET RESULTS'!$A$1:$AB$1, 0)),  'PASTE IN FPET RESULTS'!$E:$E, $AC41, 'PASTE IN FPET RESULTS'!$F:$F, $AD41, 'PASTE IN FPET RESULTS'!$D:$D, 'Review FPET Inputs'!L$92)</f>
        <v>0</v>
      </c>
      <c r="M41" s="724">
        <f>SUMIFS(INDEX('PASTE IN FPET RESULTS'!$A:$AB,0, MATCH('Review FPET Inputs'!$AE41, 'PASTE IN FPET RESULTS'!$A$1:$AB$1, 0)),  'PASTE IN FPET RESULTS'!$E:$E, $AC41, 'PASTE IN FPET RESULTS'!$F:$F, $AD41, 'PASTE IN FPET RESULTS'!$D:$D, 'Review FPET Inputs'!M$92)</f>
        <v>0</v>
      </c>
      <c r="N41" s="724">
        <f>SUMIFS(INDEX('PASTE IN FPET RESULTS'!$A:$AB,0, MATCH('Review FPET Inputs'!$AE41, 'PASTE IN FPET RESULTS'!$A$1:$AB$1, 0)),  'PASTE IN FPET RESULTS'!$E:$E, $AC41, 'PASTE IN FPET RESULTS'!$F:$F, $AD41, 'PASTE IN FPET RESULTS'!$D:$D, 'Review FPET Inputs'!N$92)</f>
        <v>0</v>
      </c>
      <c r="O41" s="724">
        <f>SUMIFS(INDEX('PASTE IN FPET RESULTS'!$A:$AB,0, MATCH('Review FPET Inputs'!$AE41, 'PASTE IN FPET RESULTS'!$A$1:$AB$1, 0)),  'PASTE IN FPET RESULTS'!$E:$E, $AC41, 'PASTE IN FPET RESULTS'!$F:$F, $AD41, 'PASTE IN FPET RESULTS'!$D:$D, 'Review FPET Inputs'!O$92)</f>
        <v>0</v>
      </c>
      <c r="P41" s="724">
        <f>SUMIFS(INDEX('PASTE IN FPET RESULTS'!$A:$AB,0, MATCH('Review FPET Inputs'!$AE41, 'PASTE IN FPET RESULTS'!$A$1:$AB$1, 0)),  'PASTE IN FPET RESULTS'!$E:$E, $AC41, 'PASTE IN FPET RESULTS'!$F:$F, $AD41, 'PASTE IN FPET RESULTS'!$D:$D, 'Review FPET Inputs'!P$92)</f>
        <v>0</v>
      </c>
      <c r="Q41" s="724">
        <f>SUMIFS(INDEX('PASTE IN FPET RESULTS'!$A:$AB,0, MATCH('Review FPET Inputs'!$AE41, 'PASTE IN FPET RESULTS'!$A$1:$AB$1, 0)),  'PASTE IN FPET RESULTS'!$E:$E, $AC41, 'PASTE IN FPET RESULTS'!$F:$F, $AD41, 'PASTE IN FPET RESULTS'!$D:$D, 'Review FPET Inputs'!Q$92)</f>
        <v>0</v>
      </c>
      <c r="R41" s="724">
        <f>SUMIFS(INDEX('PASTE IN FPET RESULTS'!$A:$AB,0, MATCH('Review FPET Inputs'!$AE41, 'PASTE IN FPET RESULTS'!$A$1:$AB$1, 0)),  'PASTE IN FPET RESULTS'!$E:$E, $AC41, 'PASTE IN FPET RESULTS'!$F:$F, $AD41, 'PASTE IN FPET RESULTS'!$D:$D, 'Review FPET Inputs'!R$92)</f>
        <v>0</v>
      </c>
      <c r="S41" s="724">
        <f>SUMIFS(INDEX('PASTE IN FPET RESULTS'!$A:$AB,0, MATCH('Review FPET Inputs'!$AE41, 'PASTE IN FPET RESULTS'!$A$1:$AB$1, 0)),  'PASTE IN FPET RESULTS'!$E:$E, $AC41, 'PASTE IN FPET RESULTS'!$F:$F, $AD41, 'PASTE IN FPET RESULTS'!$D:$D, 'Review FPET Inputs'!S$92)</f>
        <v>0</v>
      </c>
      <c r="T41" s="724">
        <f>SUMIFS(INDEX('PASTE IN FPET RESULTS'!$A:$AB,0, MATCH('Review FPET Inputs'!$AE41, 'PASTE IN FPET RESULTS'!$A$1:$AB$1, 0)),  'PASTE IN FPET RESULTS'!$E:$E, $AC41, 'PASTE IN FPET RESULTS'!$F:$F, $AD41, 'PASTE IN FPET RESULTS'!$D:$D, 'Review FPET Inputs'!T$92)</f>
        <v>0</v>
      </c>
      <c r="U41" s="724">
        <f>SUMIFS(INDEX('PASTE IN FPET RESULTS'!$A:$AB,0, MATCH('Review FPET Inputs'!$AE41, 'PASTE IN FPET RESULTS'!$A$1:$AB$1, 0)),  'PASTE IN FPET RESULTS'!$E:$E, $AC41, 'PASTE IN FPET RESULTS'!$F:$F, $AD41, 'PASTE IN FPET RESULTS'!$D:$D, 'Review FPET Inputs'!U$92)</f>
        <v>0</v>
      </c>
      <c r="V41" s="724">
        <f>SUMIFS(INDEX('PASTE IN FPET RESULTS'!$A:$AB,0, MATCH('Review FPET Inputs'!$AE41, 'PASTE IN FPET RESULTS'!$A$1:$AB$1, 0)),  'PASTE IN FPET RESULTS'!$E:$E, $AC41, 'PASTE IN FPET RESULTS'!$F:$F, $AD41, 'PASTE IN FPET RESULTS'!$D:$D, 'Review FPET Inputs'!V$92)</f>
        <v>0</v>
      </c>
      <c r="W41" s="724">
        <f>SUMIFS(INDEX('PASTE IN FPET RESULTS'!$A:$AB,0, MATCH('Review FPET Inputs'!$AE41, 'PASTE IN FPET RESULTS'!$A$1:$AB$1, 0)),  'PASTE IN FPET RESULTS'!$E:$E, $AC41, 'PASTE IN FPET RESULTS'!$F:$F, $AD41, 'PASTE IN FPET RESULTS'!$D:$D, 'Review FPET Inputs'!W$92)</f>
        <v>0</v>
      </c>
      <c r="X41" s="724">
        <f>SUMIFS(INDEX('PASTE IN FPET RESULTS'!$A:$AB,0, MATCH('Review FPET Inputs'!$AE41, 'PASTE IN FPET RESULTS'!$A$1:$AB$1, 0)),  'PASTE IN FPET RESULTS'!$E:$E, $AC41, 'PASTE IN FPET RESULTS'!$F:$F, $AD41, 'PASTE IN FPET RESULTS'!$D:$D, 'Review FPET Inputs'!X$92)</f>
        <v>0</v>
      </c>
      <c r="Y41" s="724">
        <f>SUMIFS(INDEX('PASTE IN FPET RESULTS'!$A:$AB,0, MATCH('Review FPET Inputs'!$AE41, 'PASTE IN FPET RESULTS'!$A$1:$AB$1, 0)),  'PASTE IN FPET RESULTS'!$E:$E, $AC41, 'PASTE IN FPET RESULTS'!$F:$F, $AD41, 'PASTE IN FPET RESULTS'!$D:$D, 'Review FPET Inputs'!Y$92)</f>
        <v>0</v>
      </c>
      <c r="Z41" s="724">
        <f>SUMIFS(INDEX('PASTE IN FPET RESULTS'!$A:$AB,0, MATCH('Review FPET Inputs'!$AE41, 'PASTE IN FPET RESULTS'!$A$1:$AB$1, 0)),  'PASTE IN FPET RESULTS'!$E:$E, $AC41, 'PASTE IN FPET RESULTS'!$F:$F, $AD41, 'PASTE IN FPET RESULTS'!$D:$D, 'Review FPET Inputs'!Z$92)</f>
        <v>0</v>
      </c>
      <c r="AA41" s="724">
        <f>SUMIFS(INDEX('PASTE IN FPET RESULTS'!$A:$AB,0, MATCH('Review FPET Inputs'!$AE41, 'PASTE IN FPET RESULTS'!$A$1:$AB$1, 0)),  'PASTE IN FPET RESULTS'!$E:$E, $AC41, 'PASTE IN FPET RESULTS'!$F:$F, $AD41, 'PASTE IN FPET RESULTS'!$D:$D, 'Review FPET Inputs'!AA$92)</f>
        <v>0</v>
      </c>
      <c r="AC41" s="817" t="s">
        <v>1266</v>
      </c>
      <c r="AD41" s="817" t="s">
        <v>1098</v>
      </c>
      <c r="AE41" s="817" t="s">
        <v>1097</v>
      </c>
      <c r="AF41" s="681"/>
      <c r="AG41" s="233" t="s">
        <v>132</v>
      </c>
      <c r="AH41" s="652" t="s">
        <v>133</v>
      </c>
      <c r="AI41" s="619"/>
      <c r="AJ41" s="619"/>
    </row>
    <row r="42" spans="2:36" ht="10.95" customHeight="1" x14ac:dyDescent="0.3">
      <c r="B42" s="9"/>
      <c r="D42" s="16"/>
      <c r="E42" s="9"/>
      <c r="F42" s="9"/>
      <c r="G42" s="16"/>
      <c r="H42" s="16"/>
      <c r="I42" s="723"/>
      <c r="J42" s="723"/>
      <c r="K42" s="723"/>
      <c r="L42" s="723"/>
      <c r="M42" s="723"/>
      <c r="N42" s="723"/>
      <c r="O42" s="723"/>
      <c r="P42" s="723"/>
      <c r="Q42" s="723"/>
      <c r="R42" s="723"/>
      <c r="S42" s="723"/>
      <c r="T42" s="723"/>
      <c r="U42" s="723"/>
      <c r="V42" s="723"/>
      <c r="W42" s="723"/>
      <c r="X42" s="723"/>
      <c r="Y42" s="723"/>
      <c r="Z42" s="723"/>
      <c r="AA42" s="723"/>
      <c r="AC42" s="716"/>
      <c r="AD42" s="716"/>
      <c r="AE42" s="716"/>
      <c r="AF42" s="8"/>
      <c r="AG42" s="647" t="s">
        <v>1012</v>
      </c>
      <c r="AH42" s="647" t="s">
        <v>967</v>
      </c>
    </row>
    <row r="43" spans="2:36" s="9" customFormat="1" ht="30" customHeight="1" x14ac:dyDescent="0.3">
      <c r="C43" s="832" t="str">
        <f>IF(Language="English", AG42, AH42)</f>
        <v>Lower Bound (2.5 Percentile)</v>
      </c>
      <c r="D43" s="631" t="str">
        <f>IF(Language="English", AG43, AH43)</f>
        <v>CPR among married women</v>
      </c>
      <c r="E43" s="315" t="s">
        <v>511</v>
      </c>
      <c r="F43" s="315">
        <v>2.5</v>
      </c>
      <c r="G43" s="631" t="s">
        <v>1015</v>
      </c>
      <c r="H43" s="631" t="str">
        <f>G43&amp;E43&amp;F43</f>
        <v>CPMW2.5</v>
      </c>
      <c r="I43" s="724">
        <f>SUMIFS(INDEX('PASTE IN FPET RESULTS'!$A:$AB,0, MATCH('Review FPET Inputs'!$AE43, 'PASTE IN FPET RESULTS'!$A$1:$AB$1, 0)),  'PASTE IN FPET RESULTS'!$E:$E, $AC43, 'PASTE IN FPET RESULTS'!$F:$F, $AD43, 'PASTE IN FPET RESULTS'!$D:$D, I$37)</f>
        <v>0</v>
      </c>
      <c r="J43" s="724">
        <f>SUMIFS(INDEX('PASTE IN FPET RESULTS'!$A:$AB,0, MATCH('Review FPET Inputs'!$AE43, 'PASTE IN FPET RESULTS'!$A$1:$AB$1, 0)),  'PASTE IN FPET RESULTS'!$E:$E, $AC43, 'PASTE IN FPET RESULTS'!$F:$F, $AD43, 'PASTE IN FPET RESULTS'!$D:$D, 'Review FPET Inputs'!J$92)</f>
        <v>0</v>
      </c>
      <c r="K43" s="724">
        <f>SUMIFS(INDEX('PASTE IN FPET RESULTS'!$A:$AB,0, MATCH('Review FPET Inputs'!$AE43, 'PASTE IN FPET RESULTS'!$A$1:$AB$1, 0)),  'PASTE IN FPET RESULTS'!$E:$E, $AC43, 'PASTE IN FPET RESULTS'!$F:$F, $AD43, 'PASTE IN FPET RESULTS'!$D:$D, 'Review FPET Inputs'!K$92)</f>
        <v>0</v>
      </c>
      <c r="L43" s="724">
        <f>SUMIFS(INDEX('PASTE IN FPET RESULTS'!$A:$AB,0, MATCH('Review FPET Inputs'!$AE43, 'PASTE IN FPET RESULTS'!$A$1:$AB$1, 0)),  'PASTE IN FPET RESULTS'!$E:$E, $AC43, 'PASTE IN FPET RESULTS'!$F:$F, $AD43, 'PASTE IN FPET RESULTS'!$D:$D, 'Review FPET Inputs'!L$92)</f>
        <v>0</v>
      </c>
      <c r="M43" s="724">
        <f>SUMIFS(INDEX('PASTE IN FPET RESULTS'!$A:$AB,0, MATCH('Review FPET Inputs'!$AE43, 'PASTE IN FPET RESULTS'!$A$1:$AB$1, 0)),  'PASTE IN FPET RESULTS'!$E:$E, $AC43, 'PASTE IN FPET RESULTS'!$F:$F, $AD43, 'PASTE IN FPET RESULTS'!$D:$D, 'Review FPET Inputs'!M$92)</f>
        <v>0</v>
      </c>
      <c r="N43" s="724">
        <f>SUMIFS(INDEX('PASTE IN FPET RESULTS'!$A:$AB,0, MATCH('Review FPET Inputs'!$AE43, 'PASTE IN FPET RESULTS'!$A$1:$AB$1, 0)),  'PASTE IN FPET RESULTS'!$E:$E, $AC43, 'PASTE IN FPET RESULTS'!$F:$F, $AD43, 'PASTE IN FPET RESULTS'!$D:$D, 'Review FPET Inputs'!N$92)</f>
        <v>0</v>
      </c>
      <c r="O43" s="724">
        <f>SUMIFS(INDEX('PASTE IN FPET RESULTS'!$A:$AB,0, MATCH('Review FPET Inputs'!$AE43, 'PASTE IN FPET RESULTS'!$A$1:$AB$1, 0)),  'PASTE IN FPET RESULTS'!$E:$E, $AC43, 'PASTE IN FPET RESULTS'!$F:$F, $AD43, 'PASTE IN FPET RESULTS'!$D:$D, 'Review FPET Inputs'!O$92)</f>
        <v>0</v>
      </c>
      <c r="P43" s="724">
        <f>SUMIFS(INDEX('PASTE IN FPET RESULTS'!$A:$AB,0, MATCH('Review FPET Inputs'!$AE43, 'PASTE IN FPET RESULTS'!$A$1:$AB$1, 0)),  'PASTE IN FPET RESULTS'!$E:$E, $AC43, 'PASTE IN FPET RESULTS'!$F:$F, $AD43, 'PASTE IN FPET RESULTS'!$D:$D, 'Review FPET Inputs'!P$92)</f>
        <v>0</v>
      </c>
      <c r="Q43" s="724">
        <f>SUMIFS(INDEX('PASTE IN FPET RESULTS'!$A:$AB,0, MATCH('Review FPET Inputs'!$AE43, 'PASTE IN FPET RESULTS'!$A$1:$AB$1, 0)),  'PASTE IN FPET RESULTS'!$E:$E, $AC43, 'PASTE IN FPET RESULTS'!$F:$F, $AD43, 'PASTE IN FPET RESULTS'!$D:$D, 'Review FPET Inputs'!Q$92)</f>
        <v>0</v>
      </c>
      <c r="R43" s="724">
        <f>SUMIFS(INDEX('PASTE IN FPET RESULTS'!$A:$AB,0, MATCH('Review FPET Inputs'!$AE43, 'PASTE IN FPET RESULTS'!$A$1:$AB$1, 0)),  'PASTE IN FPET RESULTS'!$E:$E, $AC43, 'PASTE IN FPET RESULTS'!$F:$F, $AD43, 'PASTE IN FPET RESULTS'!$D:$D, 'Review FPET Inputs'!R$92)</f>
        <v>0</v>
      </c>
      <c r="S43" s="724">
        <f>SUMIFS(INDEX('PASTE IN FPET RESULTS'!$A:$AB,0, MATCH('Review FPET Inputs'!$AE43, 'PASTE IN FPET RESULTS'!$A$1:$AB$1, 0)),  'PASTE IN FPET RESULTS'!$E:$E, $AC43, 'PASTE IN FPET RESULTS'!$F:$F, $AD43, 'PASTE IN FPET RESULTS'!$D:$D, 'Review FPET Inputs'!S$92)</f>
        <v>0</v>
      </c>
      <c r="T43" s="724">
        <f>SUMIFS(INDEX('PASTE IN FPET RESULTS'!$A:$AB,0, MATCH('Review FPET Inputs'!$AE43, 'PASTE IN FPET RESULTS'!$A$1:$AB$1, 0)),  'PASTE IN FPET RESULTS'!$E:$E, $AC43, 'PASTE IN FPET RESULTS'!$F:$F, $AD43, 'PASTE IN FPET RESULTS'!$D:$D, 'Review FPET Inputs'!T$92)</f>
        <v>0</v>
      </c>
      <c r="U43" s="724">
        <f>SUMIFS(INDEX('PASTE IN FPET RESULTS'!$A:$AB,0, MATCH('Review FPET Inputs'!$AE43, 'PASTE IN FPET RESULTS'!$A$1:$AB$1, 0)),  'PASTE IN FPET RESULTS'!$E:$E, $AC43, 'PASTE IN FPET RESULTS'!$F:$F, $AD43, 'PASTE IN FPET RESULTS'!$D:$D, 'Review FPET Inputs'!U$92)</f>
        <v>0</v>
      </c>
      <c r="V43" s="724">
        <f>SUMIFS(INDEX('PASTE IN FPET RESULTS'!$A:$AB,0, MATCH('Review FPET Inputs'!$AE43, 'PASTE IN FPET RESULTS'!$A$1:$AB$1, 0)),  'PASTE IN FPET RESULTS'!$E:$E, $AC43, 'PASTE IN FPET RESULTS'!$F:$F, $AD43, 'PASTE IN FPET RESULTS'!$D:$D, 'Review FPET Inputs'!V$92)</f>
        <v>0</v>
      </c>
      <c r="W43" s="724">
        <f>SUMIFS(INDEX('PASTE IN FPET RESULTS'!$A:$AB,0, MATCH('Review FPET Inputs'!$AE43, 'PASTE IN FPET RESULTS'!$A$1:$AB$1, 0)),  'PASTE IN FPET RESULTS'!$E:$E, $AC43, 'PASTE IN FPET RESULTS'!$F:$F, $AD43, 'PASTE IN FPET RESULTS'!$D:$D, 'Review FPET Inputs'!W$92)</f>
        <v>0</v>
      </c>
      <c r="X43" s="724">
        <f>SUMIFS(INDEX('PASTE IN FPET RESULTS'!$A:$AB,0, MATCH('Review FPET Inputs'!$AE43, 'PASTE IN FPET RESULTS'!$A$1:$AB$1, 0)),  'PASTE IN FPET RESULTS'!$E:$E, $AC43, 'PASTE IN FPET RESULTS'!$F:$F, $AD43, 'PASTE IN FPET RESULTS'!$D:$D, 'Review FPET Inputs'!X$92)</f>
        <v>0</v>
      </c>
      <c r="Y43" s="724">
        <f>SUMIFS(INDEX('PASTE IN FPET RESULTS'!$A:$AB,0, MATCH('Review FPET Inputs'!$AE43, 'PASTE IN FPET RESULTS'!$A$1:$AB$1, 0)),  'PASTE IN FPET RESULTS'!$E:$E, $AC43, 'PASTE IN FPET RESULTS'!$F:$F, $AD43, 'PASTE IN FPET RESULTS'!$D:$D, 'Review FPET Inputs'!Y$92)</f>
        <v>0</v>
      </c>
      <c r="Z43" s="724">
        <f>SUMIFS(INDEX('PASTE IN FPET RESULTS'!$A:$AB,0, MATCH('Review FPET Inputs'!$AE43, 'PASTE IN FPET RESULTS'!$A$1:$AB$1, 0)),  'PASTE IN FPET RESULTS'!$E:$E, $AC43, 'PASTE IN FPET RESULTS'!$F:$F, $AD43, 'PASTE IN FPET RESULTS'!$D:$D, 'Review FPET Inputs'!Z$92)</f>
        <v>0</v>
      </c>
      <c r="AA43" s="724">
        <f>SUMIFS(INDEX('PASTE IN FPET RESULTS'!$A:$AB,0, MATCH('Review FPET Inputs'!$AE43, 'PASTE IN FPET RESULTS'!$A$1:$AB$1, 0)),  'PASTE IN FPET RESULTS'!$E:$E, $AC43, 'PASTE IN FPET RESULTS'!$F:$F, $AD43, 'PASTE IN FPET RESULTS'!$D:$D, 'Review FPET Inputs'!AA$92)</f>
        <v>0</v>
      </c>
      <c r="AC43" s="817" t="s">
        <v>1266</v>
      </c>
      <c r="AD43" s="817">
        <v>2.5000000000000001E-2</v>
      </c>
      <c r="AE43" s="817" t="s">
        <v>1077</v>
      </c>
      <c r="AF43" s="8"/>
      <c r="AG43" s="650" t="s">
        <v>631</v>
      </c>
      <c r="AH43" s="651" t="s">
        <v>632</v>
      </c>
    </row>
    <row r="44" spans="2:36" s="9" customFormat="1" ht="30" customHeight="1" x14ac:dyDescent="0.3">
      <c r="C44" s="832"/>
      <c r="D44" s="631" t="str">
        <f>IF(Language="English", AG44, AH44)</f>
        <v>mCPR among married women</v>
      </c>
      <c r="E44" s="315" t="s">
        <v>511</v>
      </c>
      <c r="F44" s="315">
        <v>2.5</v>
      </c>
      <c r="G44" s="631" t="s">
        <v>1014</v>
      </c>
      <c r="H44" s="631" t="str">
        <f>G44&amp;E44&amp;F44</f>
        <v>mCPMW2.5</v>
      </c>
      <c r="I44" s="724">
        <f>SUMIFS(INDEX('PASTE IN FPET RESULTS'!$A:$AB,0, MATCH('Review FPET Inputs'!$AE44, 'PASTE IN FPET RESULTS'!$A$1:$AB$1, 0)),  'PASTE IN FPET RESULTS'!$E:$E, $AC44, 'PASTE IN FPET RESULTS'!$F:$F, $AD44, 'PASTE IN FPET RESULTS'!$D:$D, I$37)</f>
        <v>0</v>
      </c>
      <c r="J44" s="724">
        <f>SUMIFS(INDEX('PASTE IN FPET RESULTS'!$A:$AB,0, MATCH('Review FPET Inputs'!$AE44, 'PASTE IN FPET RESULTS'!$A$1:$AB$1, 0)),  'PASTE IN FPET RESULTS'!$E:$E, $AC44, 'PASTE IN FPET RESULTS'!$F:$F, $AD44, 'PASTE IN FPET RESULTS'!$D:$D, 'Review FPET Inputs'!J$92)</f>
        <v>0</v>
      </c>
      <c r="K44" s="724">
        <f>SUMIFS(INDEX('PASTE IN FPET RESULTS'!$A:$AB,0, MATCH('Review FPET Inputs'!$AE44, 'PASTE IN FPET RESULTS'!$A$1:$AB$1, 0)),  'PASTE IN FPET RESULTS'!$E:$E, $AC44, 'PASTE IN FPET RESULTS'!$F:$F, $AD44, 'PASTE IN FPET RESULTS'!$D:$D, 'Review FPET Inputs'!K$92)</f>
        <v>0</v>
      </c>
      <c r="L44" s="724">
        <f>SUMIFS(INDEX('PASTE IN FPET RESULTS'!$A:$AB,0, MATCH('Review FPET Inputs'!$AE44, 'PASTE IN FPET RESULTS'!$A$1:$AB$1, 0)),  'PASTE IN FPET RESULTS'!$E:$E, $AC44, 'PASTE IN FPET RESULTS'!$F:$F, $AD44, 'PASTE IN FPET RESULTS'!$D:$D, 'Review FPET Inputs'!L$92)</f>
        <v>0</v>
      </c>
      <c r="M44" s="724">
        <f>SUMIFS(INDEX('PASTE IN FPET RESULTS'!$A:$AB,0, MATCH('Review FPET Inputs'!$AE44, 'PASTE IN FPET RESULTS'!$A$1:$AB$1, 0)),  'PASTE IN FPET RESULTS'!$E:$E, $AC44, 'PASTE IN FPET RESULTS'!$F:$F, $AD44, 'PASTE IN FPET RESULTS'!$D:$D, 'Review FPET Inputs'!M$92)</f>
        <v>0</v>
      </c>
      <c r="N44" s="724">
        <f>SUMIFS(INDEX('PASTE IN FPET RESULTS'!$A:$AB,0, MATCH('Review FPET Inputs'!$AE44, 'PASTE IN FPET RESULTS'!$A$1:$AB$1, 0)),  'PASTE IN FPET RESULTS'!$E:$E, $AC44, 'PASTE IN FPET RESULTS'!$F:$F, $AD44, 'PASTE IN FPET RESULTS'!$D:$D, 'Review FPET Inputs'!N$92)</f>
        <v>0</v>
      </c>
      <c r="O44" s="724">
        <f>SUMIFS(INDEX('PASTE IN FPET RESULTS'!$A:$AB,0, MATCH('Review FPET Inputs'!$AE44, 'PASTE IN FPET RESULTS'!$A$1:$AB$1, 0)),  'PASTE IN FPET RESULTS'!$E:$E, $AC44, 'PASTE IN FPET RESULTS'!$F:$F, $AD44, 'PASTE IN FPET RESULTS'!$D:$D, 'Review FPET Inputs'!O$92)</f>
        <v>0</v>
      </c>
      <c r="P44" s="724">
        <f>SUMIFS(INDEX('PASTE IN FPET RESULTS'!$A:$AB,0, MATCH('Review FPET Inputs'!$AE44, 'PASTE IN FPET RESULTS'!$A$1:$AB$1, 0)),  'PASTE IN FPET RESULTS'!$E:$E, $AC44, 'PASTE IN FPET RESULTS'!$F:$F, $AD44, 'PASTE IN FPET RESULTS'!$D:$D, 'Review FPET Inputs'!P$92)</f>
        <v>0</v>
      </c>
      <c r="Q44" s="724">
        <f>SUMIFS(INDEX('PASTE IN FPET RESULTS'!$A:$AB,0, MATCH('Review FPET Inputs'!$AE44, 'PASTE IN FPET RESULTS'!$A$1:$AB$1, 0)),  'PASTE IN FPET RESULTS'!$E:$E, $AC44, 'PASTE IN FPET RESULTS'!$F:$F, $AD44, 'PASTE IN FPET RESULTS'!$D:$D, 'Review FPET Inputs'!Q$92)</f>
        <v>0</v>
      </c>
      <c r="R44" s="724">
        <f>SUMIFS(INDEX('PASTE IN FPET RESULTS'!$A:$AB,0, MATCH('Review FPET Inputs'!$AE44, 'PASTE IN FPET RESULTS'!$A$1:$AB$1, 0)),  'PASTE IN FPET RESULTS'!$E:$E, $AC44, 'PASTE IN FPET RESULTS'!$F:$F, $AD44, 'PASTE IN FPET RESULTS'!$D:$D, 'Review FPET Inputs'!R$92)</f>
        <v>0</v>
      </c>
      <c r="S44" s="724">
        <f>SUMIFS(INDEX('PASTE IN FPET RESULTS'!$A:$AB,0, MATCH('Review FPET Inputs'!$AE44, 'PASTE IN FPET RESULTS'!$A$1:$AB$1, 0)),  'PASTE IN FPET RESULTS'!$E:$E, $AC44, 'PASTE IN FPET RESULTS'!$F:$F, $AD44, 'PASTE IN FPET RESULTS'!$D:$D, 'Review FPET Inputs'!S$92)</f>
        <v>0</v>
      </c>
      <c r="T44" s="724">
        <f>SUMIFS(INDEX('PASTE IN FPET RESULTS'!$A:$AB,0, MATCH('Review FPET Inputs'!$AE44, 'PASTE IN FPET RESULTS'!$A$1:$AB$1, 0)),  'PASTE IN FPET RESULTS'!$E:$E, $AC44, 'PASTE IN FPET RESULTS'!$F:$F, $AD44, 'PASTE IN FPET RESULTS'!$D:$D, 'Review FPET Inputs'!T$92)</f>
        <v>0</v>
      </c>
      <c r="U44" s="724">
        <f>SUMIFS(INDEX('PASTE IN FPET RESULTS'!$A:$AB,0, MATCH('Review FPET Inputs'!$AE44, 'PASTE IN FPET RESULTS'!$A$1:$AB$1, 0)),  'PASTE IN FPET RESULTS'!$E:$E, $AC44, 'PASTE IN FPET RESULTS'!$F:$F, $AD44, 'PASTE IN FPET RESULTS'!$D:$D, 'Review FPET Inputs'!U$92)</f>
        <v>0</v>
      </c>
      <c r="V44" s="724">
        <f>SUMIFS(INDEX('PASTE IN FPET RESULTS'!$A:$AB,0, MATCH('Review FPET Inputs'!$AE44, 'PASTE IN FPET RESULTS'!$A$1:$AB$1, 0)),  'PASTE IN FPET RESULTS'!$E:$E, $AC44, 'PASTE IN FPET RESULTS'!$F:$F, $AD44, 'PASTE IN FPET RESULTS'!$D:$D, 'Review FPET Inputs'!V$92)</f>
        <v>0</v>
      </c>
      <c r="W44" s="724">
        <f>SUMIFS(INDEX('PASTE IN FPET RESULTS'!$A:$AB,0, MATCH('Review FPET Inputs'!$AE44, 'PASTE IN FPET RESULTS'!$A$1:$AB$1, 0)),  'PASTE IN FPET RESULTS'!$E:$E, $AC44, 'PASTE IN FPET RESULTS'!$F:$F, $AD44, 'PASTE IN FPET RESULTS'!$D:$D, 'Review FPET Inputs'!W$92)</f>
        <v>0</v>
      </c>
      <c r="X44" s="724">
        <f>SUMIFS(INDEX('PASTE IN FPET RESULTS'!$A:$AB,0, MATCH('Review FPET Inputs'!$AE44, 'PASTE IN FPET RESULTS'!$A$1:$AB$1, 0)),  'PASTE IN FPET RESULTS'!$E:$E, $AC44, 'PASTE IN FPET RESULTS'!$F:$F, $AD44, 'PASTE IN FPET RESULTS'!$D:$D, 'Review FPET Inputs'!X$92)</f>
        <v>0</v>
      </c>
      <c r="Y44" s="724">
        <f>SUMIFS(INDEX('PASTE IN FPET RESULTS'!$A:$AB,0, MATCH('Review FPET Inputs'!$AE44, 'PASTE IN FPET RESULTS'!$A$1:$AB$1, 0)),  'PASTE IN FPET RESULTS'!$E:$E, $AC44, 'PASTE IN FPET RESULTS'!$F:$F, $AD44, 'PASTE IN FPET RESULTS'!$D:$D, 'Review FPET Inputs'!Y$92)</f>
        <v>0</v>
      </c>
      <c r="Z44" s="724">
        <f>SUMIFS(INDEX('PASTE IN FPET RESULTS'!$A:$AB,0, MATCH('Review FPET Inputs'!$AE44, 'PASTE IN FPET RESULTS'!$A$1:$AB$1, 0)),  'PASTE IN FPET RESULTS'!$E:$E, $AC44, 'PASTE IN FPET RESULTS'!$F:$F, $AD44, 'PASTE IN FPET RESULTS'!$D:$D, 'Review FPET Inputs'!Z$92)</f>
        <v>0</v>
      </c>
      <c r="AA44" s="724">
        <f>SUMIFS(INDEX('PASTE IN FPET RESULTS'!$A:$AB,0, MATCH('Review FPET Inputs'!$AE44, 'PASTE IN FPET RESULTS'!$A$1:$AB$1, 0)),  'PASTE IN FPET RESULTS'!$E:$E, $AC44, 'PASTE IN FPET RESULTS'!$F:$F, $AD44, 'PASTE IN FPET RESULTS'!$D:$D, 'Review FPET Inputs'!AA$92)</f>
        <v>0</v>
      </c>
      <c r="AC44" s="817" t="s">
        <v>1266</v>
      </c>
      <c r="AD44" s="817">
        <v>2.5000000000000001E-2</v>
      </c>
      <c r="AE44" s="817" t="s">
        <v>1079</v>
      </c>
      <c r="AF44" s="8"/>
      <c r="AG44" s="650" t="s">
        <v>113</v>
      </c>
      <c r="AH44" s="651" t="s">
        <v>114</v>
      </c>
      <c r="AI44" s="619"/>
      <c r="AJ44" s="619"/>
    </row>
    <row r="45" spans="2:36" s="44" customFormat="1" ht="30" customHeight="1" x14ac:dyDescent="0.3">
      <c r="C45" s="832"/>
      <c r="D45" s="631" t="str">
        <f>IF(Language="English", AG45, AH45)</f>
        <v>Demand Satisfied with modern methods (married)</v>
      </c>
      <c r="E45" s="315" t="s">
        <v>511</v>
      </c>
      <c r="F45" s="315">
        <v>2.5</v>
      </c>
      <c r="G45" s="631" t="s">
        <v>1016</v>
      </c>
      <c r="H45" s="631" t="str">
        <f>G45&amp;E45&amp;F45</f>
        <v>mDSMW2.5</v>
      </c>
      <c r="I45" s="724">
        <f>SUMIFS(INDEX('PASTE IN FPET RESULTS'!$A:$AB,0, MATCH('Review FPET Inputs'!$AE45, 'PASTE IN FPET RESULTS'!$A$1:$AB$1, 0)),  'PASTE IN FPET RESULTS'!$E:$E, $AC45, 'PASTE IN FPET RESULTS'!$F:$F, $AD45, 'PASTE IN FPET RESULTS'!$D:$D, I$37)</f>
        <v>0</v>
      </c>
      <c r="J45" s="724">
        <f>SUMIFS(INDEX('PASTE IN FPET RESULTS'!$A:$AB,0, MATCH('Review FPET Inputs'!$AE45, 'PASTE IN FPET RESULTS'!$A$1:$AB$1, 0)),  'PASTE IN FPET RESULTS'!$E:$E, $AC45, 'PASTE IN FPET RESULTS'!$F:$F, $AD45, 'PASTE IN FPET RESULTS'!$D:$D, 'Review FPET Inputs'!J$92)</f>
        <v>0</v>
      </c>
      <c r="K45" s="724">
        <f>SUMIFS(INDEX('PASTE IN FPET RESULTS'!$A:$AB,0, MATCH('Review FPET Inputs'!$AE45, 'PASTE IN FPET RESULTS'!$A$1:$AB$1, 0)),  'PASTE IN FPET RESULTS'!$E:$E, $AC45, 'PASTE IN FPET RESULTS'!$F:$F, $AD45, 'PASTE IN FPET RESULTS'!$D:$D, 'Review FPET Inputs'!K$92)</f>
        <v>0</v>
      </c>
      <c r="L45" s="724">
        <f>SUMIFS(INDEX('PASTE IN FPET RESULTS'!$A:$AB,0, MATCH('Review FPET Inputs'!$AE45, 'PASTE IN FPET RESULTS'!$A$1:$AB$1, 0)),  'PASTE IN FPET RESULTS'!$E:$E, $AC45, 'PASTE IN FPET RESULTS'!$F:$F, $AD45, 'PASTE IN FPET RESULTS'!$D:$D, 'Review FPET Inputs'!L$92)</f>
        <v>0</v>
      </c>
      <c r="M45" s="724">
        <f>SUMIFS(INDEX('PASTE IN FPET RESULTS'!$A:$AB,0, MATCH('Review FPET Inputs'!$AE45, 'PASTE IN FPET RESULTS'!$A$1:$AB$1, 0)),  'PASTE IN FPET RESULTS'!$E:$E, $AC45, 'PASTE IN FPET RESULTS'!$F:$F, $AD45, 'PASTE IN FPET RESULTS'!$D:$D, 'Review FPET Inputs'!M$92)</f>
        <v>0</v>
      </c>
      <c r="N45" s="724">
        <f>SUMIFS(INDEX('PASTE IN FPET RESULTS'!$A:$AB,0, MATCH('Review FPET Inputs'!$AE45, 'PASTE IN FPET RESULTS'!$A$1:$AB$1, 0)),  'PASTE IN FPET RESULTS'!$E:$E, $AC45, 'PASTE IN FPET RESULTS'!$F:$F, $AD45, 'PASTE IN FPET RESULTS'!$D:$D, 'Review FPET Inputs'!N$92)</f>
        <v>0</v>
      </c>
      <c r="O45" s="724">
        <f>SUMIFS(INDEX('PASTE IN FPET RESULTS'!$A:$AB,0, MATCH('Review FPET Inputs'!$AE45, 'PASTE IN FPET RESULTS'!$A$1:$AB$1, 0)),  'PASTE IN FPET RESULTS'!$E:$E, $AC45, 'PASTE IN FPET RESULTS'!$F:$F, $AD45, 'PASTE IN FPET RESULTS'!$D:$D, 'Review FPET Inputs'!O$92)</f>
        <v>0</v>
      </c>
      <c r="P45" s="724">
        <f>SUMIFS(INDEX('PASTE IN FPET RESULTS'!$A:$AB,0, MATCH('Review FPET Inputs'!$AE45, 'PASTE IN FPET RESULTS'!$A$1:$AB$1, 0)),  'PASTE IN FPET RESULTS'!$E:$E, $AC45, 'PASTE IN FPET RESULTS'!$F:$F, $AD45, 'PASTE IN FPET RESULTS'!$D:$D, 'Review FPET Inputs'!P$92)</f>
        <v>0</v>
      </c>
      <c r="Q45" s="724">
        <f>SUMIFS(INDEX('PASTE IN FPET RESULTS'!$A:$AB,0, MATCH('Review FPET Inputs'!$AE45, 'PASTE IN FPET RESULTS'!$A$1:$AB$1, 0)),  'PASTE IN FPET RESULTS'!$E:$E, $AC45, 'PASTE IN FPET RESULTS'!$F:$F, $AD45, 'PASTE IN FPET RESULTS'!$D:$D, 'Review FPET Inputs'!Q$92)</f>
        <v>0</v>
      </c>
      <c r="R45" s="724">
        <f>SUMIFS(INDEX('PASTE IN FPET RESULTS'!$A:$AB,0, MATCH('Review FPET Inputs'!$AE45, 'PASTE IN FPET RESULTS'!$A$1:$AB$1, 0)),  'PASTE IN FPET RESULTS'!$E:$E, $AC45, 'PASTE IN FPET RESULTS'!$F:$F, $AD45, 'PASTE IN FPET RESULTS'!$D:$D, 'Review FPET Inputs'!R$92)</f>
        <v>0</v>
      </c>
      <c r="S45" s="724">
        <f>SUMIFS(INDEX('PASTE IN FPET RESULTS'!$A:$AB,0, MATCH('Review FPET Inputs'!$AE45, 'PASTE IN FPET RESULTS'!$A$1:$AB$1, 0)),  'PASTE IN FPET RESULTS'!$E:$E, $AC45, 'PASTE IN FPET RESULTS'!$F:$F, $AD45, 'PASTE IN FPET RESULTS'!$D:$D, 'Review FPET Inputs'!S$92)</f>
        <v>0</v>
      </c>
      <c r="T45" s="724">
        <f>SUMIFS(INDEX('PASTE IN FPET RESULTS'!$A:$AB,0, MATCH('Review FPET Inputs'!$AE45, 'PASTE IN FPET RESULTS'!$A$1:$AB$1, 0)),  'PASTE IN FPET RESULTS'!$E:$E, $AC45, 'PASTE IN FPET RESULTS'!$F:$F, $AD45, 'PASTE IN FPET RESULTS'!$D:$D, 'Review FPET Inputs'!T$92)</f>
        <v>0</v>
      </c>
      <c r="U45" s="724">
        <f>SUMIFS(INDEX('PASTE IN FPET RESULTS'!$A:$AB,0, MATCH('Review FPET Inputs'!$AE45, 'PASTE IN FPET RESULTS'!$A$1:$AB$1, 0)),  'PASTE IN FPET RESULTS'!$E:$E, $AC45, 'PASTE IN FPET RESULTS'!$F:$F, $AD45, 'PASTE IN FPET RESULTS'!$D:$D, 'Review FPET Inputs'!U$92)</f>
        <v>0</v>
      </c>
      <c r="V45" s="724">
        <f>SUMIFS(INDEX('PASTE IN FPET RESULTS'!$A:$AB,0, MATCH('Review FPET Inputs'!$AE45, 'PASTE IN FPET RESULTS'!$A$1:$AB$1, 0)),  'PASTE IN FPET RESULTS'!$E:$E, $AC45, 'PASTE IN FPET RESULTS'!$F:$F, $AD45, 'PASTE IN FPET RESULTS'!$D:$D, 'Review FPET Inputs'!V$92)</f>
        <v>0</v>
      </c>
      <c r="W45" s="724">
        <f>SUMIFS(INDEX('PASTE IN FPET RESULTS'!$A:$AB,0, MATCH('Review FPET Inputs'!$AE45, 'PASTE IN FPET RESULTS'!$A$1:$AB$1, 0)),  'PASTE IN FPET RESULTS'!$E:$E, $AC45, 'PASTE IN FPET RESULTS'!$F:$F, $AD45, 'PASTE IN FPET RESULTS'!$D:$D, 'Review FPET Inputs'!W$92)</f>
        <v>0</v>
      </c>
      <c r="X45" s="724">
        <f>SUMIFS(INDEX('PASTE IN FPET RESULTS'!$A:$AB,0, MATCH('Review FPET Inputs'!$AE45, 'PASTE IN FPET RESULTS'!$A$1:$AB$1, 0)),  'PASTE IN FPET RESULTS'!$E:$E, $AC45, 'PASTE IN FPET RESULTS'!$F:$F, $AD45, 'PASTE IN FPET RESULTS'!$D:$D, 'Review FPET Inputs'!X$92)</f>
        <v>0</v>
      </c>
      <c r="Y45" s="724">
        <f>SUMIFS(INDEX('PASTE IN FPET RESULTS'!$A:$AB,0, MATCH('Review FPET Inputs'!$AE45, 'PASTE IN FPET RESULTS'!$A$1:$AB$1, 0)),  'PASTE IN FPET RESULTS'!$E:$E, $AC45, 'PASTE IN FPET RESULTS'!$F:$F, $AD45, 'PASTE IN FPET RESULTS'!$D:$D, 'Review FPET Inputs'!Y$92)</f>
        <v>0</v>
      </c>
      <c r="Z45" s="724">
        <f>SUMIFS(INDEX('PASTE IN FPET RESULTS'!$A:$AB,0, MATCH('Review FPET Inputs'!$AE45, 'PASTE IN FPET RESULTS'!$A$1:$AB$1, 0)),  'PASTE IN FPET RESULTS'!$E:$E, $AC45, 'PASTE IN FPET RESULTS'!$F:$F, $AD45, 'PASTE IN FPET RESULTS'!$D:$D, 'Review FPET Inputs'!Z$92)</f>
        <v>0</v>
      </c>
      <c r="AA45" s="724">
        <f>SUMIFS(INDEX('PASTE IN FPET RESULTS'!$A:$AB,0, MATCH('Review FPET Inputs'!$AE45, 'PASTE IN FPET RESULTS'!$A$1:$AB$1, 0)),  'PASTE IN FPET RESULTS'!$E:$E, $AC45, 'PASTE IN FPET RESULTS'!$F:$F, $AD45, 'PASTE IN FPET RESULTS'!$D:$D, 'Review FPET Inputs'!AA$92)</f>
        <v>0</v>
      </c>
      <c r="AC45" s="817" t="s">
        <v>1266</v>
      </c>
      <c r="AD45" s="817">
        <v>2.5000000000000001E-2</v>
      </c>
      <c r="AE45" s="817" t="s">
        <v>1089</v>
      </c>
      <c r="AF45" s="681"/>
      <c r="AG45" s="233" t="s">
        <v>702</v>
      </c>
      <c r="AH45" s="652" t="s">
        <v>793</v>
      </c>
      <c r="AI45" s="619"/>
      <c r="AJ45" s="619"/>
    </row>
    <row r="46" spans="2:36" s="44" customFormat="1" ht="30" customHeight="1" x14ac:dyDescent="0.3">
      <c r="C46" s="832"/>
      <c r="D46" s="631" t="str">
        <f>IF(Language="English", AG46, AH46)</f>
        <v>Unmet need for modern methods (married)</v>
      </c>
      <c r="E46" s="315" t="s">
        <v>511</v>
      </c>
      <c r="F46" s="315">
        <v>2.5</v>
      </c>
      <c r="G46" s="631" t="s">
        <v>1017</v>
      </c>
      <c r="H46" s="631" t="str">
        <f>G46&amp;E46&amp;F46</f>
        <v>mUNMW2.5</v>
      </c>
      <c r="I46" s="724">
        <f>SUMIFS(INDEX('PASTE IN FPET RESULTS'!$A:$AB,0, MATCH('Review FPET Inputs'!$AE46, 'PASTE IN FPET RESULTS'!$A$1:$AB$1, 0)),  'PASTE IN FPET RESULTS'!$E:$E, $AC46, 'PASTE IN FPET RESULTS'!$F:$F, $AD46, 'PASTE IN FPET RESULTS'!$D:$D, I$37)</f>
        <v>0</v>
      </c>
      <c r="J46" s="724">
        <f>SUMIFS(INDEX('PASTE IN FPET RESULTS'!$A:$AB,0, MATCH('Review FPET Inputs'!$AE46, 'PASTE IN FPET RESULTS'!$A$1:$AB$1, 0)),  'PASTE IN FPET RESULTS'!$E:$E, $AC46, 'PASTE IN FPET RESULTS'!$F:$F, $AD46, 'PASTE IN FPET RESULTS'!$D:$D, 'Review FPET Inputs'!J$92)</f>
        <v>0</v>
      </c>
      <c r="K46" s="724">
        <f>SUMIFS(INDEX('PASTE IN FPET RESULTS'!$A:$AB,0, MATCH('Review FPET Inputs'!$AE46, 'PASTE IN FPET RESULTS'!$A$1:$AB$1, 0)),  'PASTE IN FPET RESULTS'!$E:$E, $AC46, 'PASTE IN FPET RESULTS'!$F:$F, $AD46, 'PASTE IN FPET RESULTS'!$D:$D, 'Review FPET Inputs'!K$92)</f>
        <v>0</v>
      </c>
      <c r="L46" s="724">
        <f>SUMIFS(INDEX('PASTE IN FPET RESULTS'!$A:$AB,0, MATCH('Review FPET Inputs'!$AE46, 'PASTE IN FPET RESULTS'!$A$1:$AB$1, 0)),  'PASTE IN FPET RESULTS'!$E:$E, $AC46, 'PASTE IN FPET RESULTS'!$F:$F, $AD46, 'PASTE IN FPET RESULTS'!$D:$D, 'Review FPET Inputs'!L$92)</f>
        <v>0</v>
      </c>
      <c r="M46" s="724">
        <f>SUMIFS(INDEX('PASTE IN FPET RESULTS'!$A:$AB,0, MATCH('Review FPET Inputs'!$AE46, 'PASTE IN FPET RESULTS'!$A$1:$AB$1, 0)),  'PASTE IN FPET RESULTS'!$E:$E, $AC46, 'PASTE IN FPET RESULTS'!$F:$F, $AD46, 'PASTE IN FPET RESULTS'!$D:$D, 'Review FPET Inputs'!M$92)</f>
        <v>0</v>
      </c>
      <c r="N46" s="724">
        <f>SUMIFS(INDEX('PASTE IN FPET RESULTS'!$A:$AB,0, MATCH('Review FPET Inputs'!$AE46, 'PASTE IN FPET RESULTS'!$A$1:$AB$1, 0)),  'PASTE IN FPET RESULTS'!$E:$E, $AC46, 'PASTE IN FPET RESULTS'!$F:$F, $AD46, 'PASTE IN FPET RESULTS'!$D:$D, 'Review FPET Inputs'!N$92)</f>
        <v>0</v>
      </c>
      <c r="O46" s="724">
        <f>SUMIFS(INDEX('PASTE IN FPET RESULTS'!$A:$AB,0, MATCH('Review FPET Inputs'!$AE46, 'PASTE IN FPET RESULTS'!$A$1:$AB$1, 0)),  'PASTE IN FPET RESULTS'!$E:$E, $AC46, 'PASTE IN FPET RESULTS'!$F:$F, $AD46, 'PASTE IN FPET RESULTS'!$D:$D, 'Review FPET Inputs'!O$92)</f>
        <v>0</v>
      </c>
      <c r="P46" s="724">
        <f>SUMIFS(INDEX('PASTE IN FPET RESULTS'!$A:$AB,0, MATCH('Review FPET Inputs'!$AE46, 'PASTE IN FPET RESULTS'!$A$1:$AB$1, 0)),  'PASTE IN FPET RESULTS'!$E:$E, $AC46, 'PASTE IN FPET RESULTS'!$F:$F, $AD46, 'PASTE IN FPET RESULTS'!$D:$D, 'Review FPET Inputs'!P$92)</f>
        <v>0</v>
      </c>
      <c r="Q46" s="724">
        <f>SUMIFS(INDEX('PASTE IN FPET RESULTS'!$A:$AB,0, MATCH('Review FPET Inputs'!$AE46, 'PASTE IN FPET RESULTS'!$A$1:$AB$1, 0)),  'PASTE IN FPET RESULTS'!$E:$E, $AC46, 'PASTE IN FPET RESULTS'!$F:$F, $AD46, 'PASTE IN FPET RESULTS'!$D:$D, 'Review FPET Inputs'!Q$92)</f>
        <v>0</v>
      </c>
      <c r="R46" s="724">
        <f>SUMIFS(INDEX('PASTE IN FPET RESULTS'!$A:$AB,0, MATCH('Review FPET Inputs'!$AE46, 'PASTE IN FPET RESULTS'!$A$1:$AB$1, 0)),  'PASTE IN FPET RESULTS'!$E:$E, $AC46, 'PASTE IN FPET RESULTS'!$F:$F, $AD46, 'PASTE IN FPET RESULTS'!$D:$D, 'Review FPET Inputs'!R$92)</f>
        <v>0</v>
      </c>
      <c r="S46" s="724">
        <f>SUMIFS(INDEX('PASTE IN FPET RESULTS'!$A:$AB,0, MATCH('Review FPET Inputs'!$AE46, 'PASTE IN FPET RESULTS'!$A$1:$AB$1, 0)),  'PASTE IN FPET RESULTS'!$E:$E, $AC46, 'PASTE IN FPET RESULTS'!$F:$F, $AD46, 'PASTE IN FPET RESULTS'!$D:$D, 'Review FPET Inputs'!S$92)</f>
        <v>0</v>
      </c>
      <c r="T46" s="724">
        <f>SUMIFS(INDEX('PASTE IN FPET RESULTS'!$A:$AB,0, MATCH('Review FPET Inputs'!$AE46, 'PASTE IN FPET RESULTS'!$A$1:$AB$1, 0)),  'PASTE IN FPET RESULTS'!$E:$E, $AC46, 'PASTE IN FPET RESULTS'!$F:$F, $AD46, 'PASTE IN FPET RESULTS'!$D:$D, 'Review FPET Inputs'!T$92)</f>
        <v>0</v>
      </c>
      <c r="U46" s="724">
        <f>SUMIFS(INDEX('PASTE IN FPET RESULTS'!$A:$AB,0, MATCH('Review FPET Inputs'!$AE46, 'PASTE IN FPET RESULTS'!$A$1:$AB$1, 0)),  'PASTE IN FPET RESULTS'!$E:$E, $AC46, 'PASTE IN FPET RESULTS'!$F:$F, $AD46, 'PASTE IN FPET RESULTS'!$D:$D, 'Review FPET Inputs'!U$92)</f>
        <v>0</v>
      </c>
      <c r="V46" s="724">
        <f>SUMIFS(INDEX('PASTE IN FPET RESULTS'!$A:$AB,0, MATCH('Review FPET Inputs'!$AE46, 'PASTE IN FPET RESULTS'!$A$1:$AB$1, 0)),  'PASTE IN FPET RESULTS'!$E:$E, $AC46, 'PASTE IN FPET RESULTS'!$F:$F, $AD46, 'PASTE IN FPET RESULTS'!$D:$D, 'Review FPET Inputs'!V$92)</f>
        <v>0</v>
      </c>
      <c r="W46" s="724">
        <f>SUMIFS(INDEX('PASTE IN FPET RESULTS'!$A:$AB,0, MATCH('Review FPET Inputs'!$AE46, 'PASTE IN FPET RESULTS'!$A$1:$AB$1, 0)),  'PASTE IN FPET RESULTS'!$E:$E, $AC46, 'PASTE IN FPET RESULTS'!$F:$F, $AD46, 'PASTE IN FPET RESULTS'!$D:$D, 'Review FPET Inputs'!W$92)</f>
        <v>0</v>
      </c>
      <c r="X46" s="724">
        <f>SUMIFS(INDEX('PASTE IN FPET RESULTS'!$A:$AB,0, MATCH('Review FPET Inputs'!$AE46, 'PASTE IN FPET RESULTS'!$A$1:$AB$1, 0)),  'PASTE IN FPET RESULTS'!$E:$E, $AC46, 'PASTE IN FPET RESULTS'!$F:$F, $AD46, 'PASTE IN FPET RESULTS'!$D:$D, 'Review FPET Inputs'!X$92)</f>
        <v>0</v>
      </c>
      <c r="Y46" s="724">
        <f>SUMIFS(INDEX('PASTE IN FPET RESULTS'!$A:$AB,0, MATCH('Review FPET Inputs'!$AE46, 'PASTE IN FPET RESULTS'!$A$1:$AB$1, 0)),  'PASTE IN FPET RESULTS'!$E:$E, $AC46, 'PASTE IN FPET RESULTS'!$F:$F, $AD46, 'PASTE IN FPET RESULTS'!$D:$D, 'Review FPET Inputs'!Y$92)</f>
        <v>0</v>
      </c>
      <c r="Z46" s="724">
        <f>SUMIFS(INDEX('PASTE IN FPET RESULTS'!$A:$AB,0, MATCH('Review FPET Inputs'!$AE46, 'PASTE IN FPET RESULTS'!$A$1:$AB$1, 0)),  'PASTE IN FPET RESULTS'!$E:$E, $AC46, 'PASTE IN FPET RESULTS'!$F:$F, $AD46, 'PASTE IN FPET RESULTS'!$D:$D, 'Review FPET Inputs'!Z$92)</f>
        <v>0</v>
      </c>
      <c r="AA46" s="724">
        <f>SUMIFS(INDEX('PASTE IN FPET RESULTS'!$A:$AB,0, MATCH('Review FPET Inputs'!$AE46, 'PASTE IN FPET RESULTS'!$A$1:$AB$1, 0)),  'PASTE IN FPET RESULTS'!$E:$E, $AC46, 'PASTE IN FPET RESULTS'!$F:$F, $AD46, 'PASTE IN FPET RESULTS'!$D:$D, 'Review FPET Inputs'!AA$92)</f>
        <v>0</v>
      </c>
      <c r="AC46" s="817" t="s">
        <v>1266</v>
      </c>
      <c r="AD46" s="817">
        <v>2.5000000000000001E-2</v>
      </c>
      <c r="AE46" s="817" t="s">
        <v>1097</v>
      </c>
      <c r="AF46" s="681"/>
      <c r="AG46" s="233" t="s">
        <v>132</v>
      </c>
      <c r="AH46" s="652" t="s">
        <v>133</v>
      </c>
      <c r="AI46" s="619"/>
      <c r="AJ46" s="619"/>
    </row>
    <row r="47" spans="2:36" ht="9.6" customHeight="1" x14ac:dyDescent="0.3">
      <c r="B47" s="9"/>
      <c r="E47" s="9"/>
      <c r="F47" s="9"/>
      <c r="G47" s="9"/>
      <c r="H47" s="9"/>
      <c r="AC47" s="716"/>
      <c r="AD47" s="716"/>
      <c r="AE47" s="716"/>
      <c r="AF47" s="8"/>
      <c r="AG47" s="647" t="s">
        <v>1013</v>
      </c>
      <c r="AH47" s="647" t="s">
        <v>968</v>
      </c>
    </row>
    <row r="48" spans="2:36" s="9" customFormat="1" ht="30" customHeight="1" x14ac:dyDescent="0.3">
      <c r="C48" s="832" t="str">
        <f>IF(Language="English", AG47, AH47)</f>
        <v>Upper Bound (97.5 Percentile)</v>
      </c>
      <c r="D48" s="631" t="str">
        <f>IF(Language="English", AG48, AH48)</f>
        <v>CPR among married women</v>
      </c>
      <c r="E48" s="315" t="s">
        <v>511</v>
      </c>
      <c r="F48" s="315">
        <v>97.5</v>
      </c>
      <c r="G48" s="631" t="s">
        <v>1015</v>
      </c>
      <c r="H48" s="631" t="str">
        <f>G48&amp;E48&amp;F48</f>
        <v>CPMW97.5</v>
      </c>
      <c r="I48" s="724">
        <f>SUMIFS(INDEX('PASTE IN FPET RESULTS'!$A:$AB,0, MATCH('Review FPET Inputs'!$AE48, 'PASTE IN FPET RESULTS'!$A$1:$AB$1, 0)),  'PASTE IN FPET RESULTS'!$E:$E, $AC48, 'PASTE IN FPET RESULTS'!$F:$F, $AD48, 'PASTE IN FPET RESULTS'!$D:$D, I$37)</f>
        <v>0</v>
      </c>
      <c r="J48" s="724">
        <f>SUMIFS(INDEX('PASTE IN FPET RESULTS'!$A:$AB,0, MATCH('Review FPET Inputs'!$AE48, 'PASTE IN FPET RESULTS'!$A$1:$AB$1, 0)),  'PASTE IN FPET RESULTS'!$E:$E, $AC48, 'PASTE IN FPET RESULTS'!$F:$F, $AD48, 'PASTE IN FPET RESULTS'!$D:$D, 'Review FPET Inputs'!J$92)</f>
        <v>0</v>
      </c>
      <c r="K48" s="724">
        <f>SUMIFS(INDEX('PASTE IN FPET RESULTS'!$A:$AB,0, MATCH('Review FPET Inputs'!$AE48, 'PASTE IN FPET RESULTS'!$A$1:$AB$1, 0)),  'PASTE IN FPET RESULTS'!$E:$E, $AC48, 'PASTE IN FPET RESULTS'!$F:$F, $AD48, 'PASTE IN FPET RESULTS'!$D:$D, 'Review FPET Inputs'!K$92)</f>
        <v>0</v>
      </c>
      <c r="L48" s="724">
        <f>SUMIFS(INDEX('PASTE IN FPET RESULTS'!$A:$AB,0, MATCH('Review FPET Inputs'!$AE48, 'PASTE IN FPET RESULTS'!$A$1:$AB$1, 0)),  'PASTE IN FPET RESULTS'!$E:$E, $AC48, 'PASTE IN FPET RESULTS'!$F:$F, $AD48, 'PASTE IN FPET RESULTS'!$D:$D, 'Review FPET Inputs'!L$92)</f>
        <v>0</v>
      </c>
      <c r="M48" s="724">
        <f>SUMIFS(INDEX('PASTE IN FPET RESULTS'!$A:$AB,0, MATCH('Review FPET Inputs'!$AE48, 'PASTE IN FPET RESULTS'!$A$1:$AB$1, 0)),  'PASTE IN FPET RESULTS'!$E:$E, $AC48, 'PASTE IN FPET RESULTS'!$F:$F, $AD48, 'PASTE IN FPET RESULTS'!$D:$D, 'Review FPET Inputs'!M$92)</f>
        <v>0</v>
      </c>
      <c r="N48" s="724">
        <f>SUMIFS(INDEX('PASTE IN FPET RESULTS'!$A:$AB,0, MATCH('Review FPET Inputs'!$AE48, 'PASTE IN FPET RESULTS'!$A$1:$AB$1, 0)),  'PASTE IN FPET RESULTS'!$E:$E, $AC48, 'PASTE IN FPET RESULTS'!$F:$F, $AD48, 'PASTE IN FPET RESULTS'!$D:$D, 'Review FPET Inputs'!N$92)</f>
        <v>0</v>
      </c>
      <c r="O48" s="724">
        <f>SUMIFS(INDEX('PASTE IN FPET RESULTS'!$A:$AB,0, MATCH('Review FPET Inputs'!$AE48, 'PASTE IN FPET RESULTS'!$A$1:$AB$1, 0)),  'PASTE IN FPET RESULTS'!$E:$E, $AC48, 'PASTE IN FPET RESULTS'!$F:$F, $AD48, 'PASTE IN FPET RESULTS'!$D:$D, 'Review FPET Inputs'!O$92)</f>
        <v>0</v>
      </c>
      <c r="P48" s="724">
        <f>SUMIFS(INDEX('PASTE IN FPET RESULTS'!$A:$AB,0, MATCH('Review FPET Inputs'!$AE48, 'PASTE IN FPET RESULTS'!$A$1:$AB$1, 0)),  'PASTE IN FPET RESULTS'!$E:$E, $AC48, 'PASTE IN FPET RESULTS'!$F:$F, $AD48, 'PASTE IN FPET RESULTS'!$D:$D, 'Review FPET Inputs'!P$92)</f>
        <v>0</v>
      </c>
      <c r="Q48" s="724">
        <f>SUMIFS(INDEX('PASTE IN FPET RESULTS'!$A:$AB,0, MATCH('Review FPET Inputs'!$AE48, 'PASTE IN FPET RESULTS'!$A$1:$AB$1, 0)),  'PASTE IN FPET RESULTS'!$E:$E, $AC48, 'PASTE IN FPET RESULTS'!$F:$F, $AD48, 'PASTE IN FPET RESULTS'!$D:$D, 'Review FPET Inputs'!Q$92)</f>
        <v>0</v>
      </c>
      <c r="R48" s="724">
        <f>SUMIFS(INDEX('PASTE IN FPET RESULTS'!$A:$AB,0, MATCH('Review FPET Inputs'!$AE48, 'PASTE IN FPET RESULTS'!$A$1:$AB$1, 0)),  'PASTE IN FPET RESULTS'!$E:$E, $AC48, 'PASTE IN FPET RESULTS'!$F:$F, $AD48, 'PASTE IN FPET RESULTS'!$D:$D, 'Review FPET Inputs'!R$92)</f>
        <v>0</v>
      </c>
      <c r="S48" s="724">
        <f>SUMIFS(INDEX('PASTE IN FPET RESULTS'!$A:$AB,0, MATCH('Review FPET Inputs'!$AE48, 'PASTE IN FPET RESULTS'!$A$1:$AB$1, 0)),  'PASTE IN FPET RESULTS'!$E:$E, $AC48, 'PASTE IN FPET RESULTS'!$F:$F, $AD48, 'PASTE IN FPET RESULTS'!$D:$D, 'Review FPET Inputs'!S$92)</f>
        <v>0</v>
      </c>
      <c r="T48" s="724">
        <f>SUMIFS(INDEX('PASTE IN FPET RESULTS'!$A:$AB,0, MATCH('Review FPET Inputs'!$AE48, 'PASTE IN FPET RESULTS'!$A$1:$AB$1, 0)),  'PASTE IN FPET RESULTS'!$E:$E, $AC48, 'PASTE IN FPET RESULTS'!$F:$F, $AD48, 'PASTE IN FPET RESULTS'!$D:$D, 'Review FPET Inputs'!T$92)</f>
        <v>0</v>
      </c>
      <c r="U48" s="724">
        <f>SUMIFS(INDEX('PASTE IN FPET RESULTS'!$A:$AB,0, MATCH('Review FPET Inputs'!$AE48, 'PASTE IN FPET RESULTS'!$A$1:$AB$1, 0)),  'PASTE IN FPET RESULTS'!$E:$E, $AC48, 'PASTE IN FPET RESULTS'!$F:$F, $AD48, 'PASTE IN FPET RESULTS'!$D:$D, 'Review FPET Inputs'!U$92)</f>
        <v>0</v>
      </c>
      <c r="V48" s="724">
        <f>SUMIFS(INDEX('PASTE IN FPET RESULTS'!$A:$AB,0, MATCH('Review FPET Inputs'!$AE48, 'PASTE IN FPET RESULTS'!$A$1:$AB$1, 0)),  'PASTE IN FPET RESULTS'!$E:$E, $AC48, 'PASTE IN FPET RESULTS'!$F:$F, $AD48, 'PASTE IN FPET RESULTS'!$D:$D, 'Review FPET Inputs'!V$92)</f>
        <v>0</v>
      </c>
      <c r="W48" s="724">
        <f>SUMIFS(INDEX('PASTE IN FPET RESULTS'!$A:$AB,0, MATCH('Review FPET Inputs'!$AE48, 'PASTE IN FPET RESULTS'!$A$1:$AB$1, 0)),  'PASTE IN FPET RESULTS'!$E:$E, $AC48, 'PASTE IN FPET RESULTS'!$F:$F, $AD48, 'PASTE IN FPET RESULTS'!$D:$D, 'Review FPET Inputs'!W$92)</f>
        <v>0</v>
      </c>
      <c r="X48" s="724">
        <f>SUMIFS(INDEX('PASTE IN FPET RESULTS'!$A:$AB,0, MATCH('Review FPET Inputs'!$AE48, 'PASTE IN FPET RESULTS'!$A$1:$AB$1, 0)),  'PASTE IN FPET RESULTS'!$E:$E, $AC48, 'PASTE IN FPET RESULTS'!$F:$F, $AD48, 'PASTE IN FPET RESULTS'!$D:$D, 'Review FPET Inputs'!X$92)</f>
        <v>0</v>
      </c>
      <c r="Y48" s="724">
        <f>SUMIFS(INDEX('PASTE IN FPET RESULTS'!$A:$AB,0, MATCH('Review FPET Inputs'!$AE48, 'PASTE IN FPET RESULTS'!$A$1:$AB$1, 0)),  'PASTE IN FPET RESULTS'!$E:$E, $AC48, 'PASTE IN FPET RESULTS'!$F:$F, $AD48, 'PASTE IN FPET RESULTS'!$D:$D, 'Review FPET Inputs'!Y$92)</f>
        <v>0</v>
      </c>
      <c r="Z48" s="724">
        <f>SUMIFS(INDEX('PASTE IN FPET RESULTS'!$A:$AB,0, MATCH('Review FPET Inputs'!$AE48, 'PASTE IN FPET RESULTS'!$A$1:$AB$1, 0)),  'PASTE IN FPET RESULTS'!$E:$E, $AC48, 'PASTE IN FPET RESULTS'!$F:$F, $AD48, 'PASTE IN FPET RESULTS'!$D:$D, 'Review FPET Inputs'!Z$92)</f>
        <v>0</v>
      </c>
      <c r="AA48" s="724">
        <f>SUMIFS(INDEX('PASTE IN FPET RESULTS'!$A:$AB,0, MATCH('Review FPET Inputs'!$AE48, 'PASTE IN FPET RESULTS'!$A$1:$AB$1, 0)),  'PASTE IN FPET RESULTS'!$E:$E, $AC48, 'PASTE IN FPET RESULTS'!$F:$F, $AD48, 'PASTE IN FPET RESULTS'!$D:$D, 'Review FPET Inputs'!AA$92)</f>
        <v>0</v>
      </c>
      <c r="AC48" s="817" t="s">
        <v>1266</v>
      </c>
      <c r="AD48" s="817">
        <v>0.97499999999999998</v>
      </c>
      <c r="AE48" s="817" t="s">
        <v>1077</v>
      </c>
      <c r="AF48" s="8"/>
      <c r="AG48" s="650" t="s">
        <v>631</v>
      </c>
      <c r="AH48" s="651" t="s">
        <v>632</v>
      </c>
    </row>
    <row r="49" spans="2:36" s="9" customFormat="1" ht="30" customHeight="1" x14ac:dyDescent="0.3">
      <c r="C49" s="832"/>
      <c r="D49" s="631" t="str">
        <f>IF(Language="English", AG49, AH49)</f>
        <v>mCPR among married women</v>
      </c>
      <c r="E49" s="315" t="s">
        <v>511</v>
      </c>
      <c r="F49" s="315">
        <v>97.5</v>
      </c>
      <c r="G49" s="631" t="s">
        <v>1014</v>
      </c>
      <c r="H49" s="631" t="str">
        <f>G49&amp;E49&amp;F49</f>
        <v>mCPMW97.5</v>
      </c>
      <c r="I49" s="724">
        <f>SUMIFS(INDEX('PASTE IN FPET RESULTS'!$A:$AB,0, MATCH('Review FPET Inputs'!$AE49, 'PASTE IN FPET RESULTS'!$A$1:$AB$1, 0)),  'PASTE IN FPET RESULTS'!$E:$E, $AC49, 'PASTE IN FPET RESULTS'!$F:$F, $AD49, 'PASTE IN FPET RESULTS'!$D:$D, I$37)</f>
        <v>0</v>
      </c>
      <c r="J49" s="724">
        <f>SUMIFS(INDEX('PASTE IN FPET RESULTS'!$A:$AB,0, MATCH('Review FPET Inputs'!$AE49, 'PASTE IN FPET RESULTS'!$A$1:$AB$1, 0)),  'PASTE IN FPET RESULTS'!$E:$E, $AC49, 'PASTE IN FPET RESULTS'!$F:$F, $AD49, 'PASTE IN FPET RESULTS'!$D:$D, 'Review FPET Inputs'!J$92)</f>
        <v>0</v>
      </c>
      <c r="K49" s="724">
        <f>SUMIFS(INDEX('PASTE IN FPET RESULTS'!$A:$AB,0, MATCH('Review FPET Inputs'!$AE49, 'PASTE IN FPET RESULTS'!$A$1:$AB$1, 0)),  'PASTE IN FPET RESULTS'!$E:$E, $AC49, 'PASTE IN FPET RESULTS'!$F:$F, $AD49, 'PASTE IN FPET RESULTS'!$D:$D, 'Review FPET Inputs'!K$92)</f>
        <v>0</v>
      </c>
      <c r="L49" s="724">
        <f>SUMIFS(INDEX('PASTE IN FPET RESULTS'!$A:$AB,0, MATCH('Review FPET Inputs'!$AE49, 'PASTE IN FPET RESULTS'!$A$1:$AB$1, 0)),  'PASTE IN FPET RESULTS'!$E:$E, $AC49, 'PASTE IN FPET RESULTS'!$F:$F, $AD49, 'PASTE IN FPET RESULTS'!$D:$D, 'Review FPET Inputs'!L$92)</f>
        <v>0</v>
      </c>
      <c r="M49" s="724">
        <f>SUMIFS(INDEX('PASTE IN FPET RESULTS'!$A:$AB,0, MATCH('Review FPET Inputs'!$AE49, 'PASTE IN FPET RESULTS'!$A$1:$AB$1, 0)),  'PASTE IN FPET RESULTS'!$E:$E, $AC49, 'PASTE IN FPET RESULTS'!$F:$F, $AD49, 'PASTE IN FPET RESULTS'!$D:$D, 'Review FPET Inputs'!M$92)</f>
        <v>0</v>
      </c>
      <c r="N49" s="724">
        <f>SUMIFS(INDEX('PASTE IN FPET RESULTS'!$A:$AB,0, MATCH('Review FPET Inputs'!$AE49, 'PASTE IN FPET RESULTS'!$A$1:$AB$1, 0)),  'PASTE IN FPET RESULTS'!$E:$E, $AC49, 'PASTE IN FPET RESULTS'!$F:$F, $AD49, 'PASTE IN FPET RESULTS'!$D:$D, 'Review FPET Inputs'!N$92)</f>
        <v>0</v>
      </c>
      <c r="O49" s="724">
        <f>SUMIFS(INDEX('PASTE IN FPET RESULTS'!$A:$AB,0, MATCH('Review FPET Inputs'!$AE49, 'PASTE IN FPET RESULTS'!$A$1:$AB$1, 0)),  'PASTE IN FPET RESULTS'!$E:$E, $AC49, 'PASTE IN FPET RESULTS'!$F:$F, $AD49, 'PASTE IN FPET RESULTS'!$D:$D, 'Review FPET Inputs'!O$92)</f>
        <v>0</v>
      </c>
      <c r="P49" s="724">
        <f>SUMIFS(INDEX('PASTE IN FPET RESULTS'!$A:$AB,0, MATCH('Review FPET Inputs'!$AE49, 'PASTE IN FPET RESULTS'!$A$1:$AB$1, 0)),  'PASTE IN FPET RESULTS'!$E:$E, $AC49, 'PASTE IN FPET RESULTS'!$F:$F, $AD49, 'PASTE IN FPET RESULTS'!$D:$D, 'Review FPET Inputs'!P$92)</f>
        <v>0</v>
      </c>
      <c r="Q49" s="724">
        <f>SUMIFS(INDEX('PASTE IN FPET RESULTS'!$A:$AB,0, MATCH('Review FPET Inputs'!$AE49, 'PASTE IN FPET RESULTS'!$A$1:$AB$1, 0)),  'PASTE IN FPET RESULTS'!$E:$E, $AC49, 'PASTE IN FPET RESULTS'!$F:$F, $AD49, 'PASTE IN FPET RESULTS'!$D:$D, 'Review FPET Inputs'!Q$92)</f>
        <v>0</v>
      </c>
      <c r="R49" s="724">
        <f>SUMIFS(INDEX('PASTE IN FPET RESULTS'!$A:$AB,0, MATCH('Review FPET Inputs'!$AE49, 'PASTE IN FPET RESULTS'!$A$1:$AB$1, 0)),  'PASTE IN FPET RESULTS'!$E:$E, $AC49, 'PASTE IN FPET RESULTS'!$F:$F, $AD49, 'PASTE IN FPET RESULTS'!$D:$D, 'Review FPET Inputs'!R$92)</f>
        <v>0</v>
      </c>
      <c r="S49" s="724">
        <f>SUMIFS(INDEX('PASTE IN FPET RESULTS'!$A:$AB,0, MATCH('Review FPET Inputs'!$AE49, 'PASTE IN FPET RESULTS'!$A$1:$AB$1, 0)),  'PASTE IN FPET RESULTS'!$E:$E, $AC49, 'PASTE IN FPET RESULTS'!$F:$F, $AD49, 'PASTE IN FPET RESULTS'!$D:$D, 'Review FPET Inputs'!S$92)</f>
        <v>0</v>
      </c>
      <c r="T49" s="724">
        <f>SUMIFS(INDEX('PASTE IN FPET RESULTS'!$A:$AB,0, MATCH('Review FPET Inputs'!$AE49, 'PASTE IN FPET RESULTS'!$A$1:$AB$1, 0)),  'PASTE IN FPET RESULTS'!$E:$E, $AC49, 'PASTE IN FPET RESULTS'!$F:$F, $AD49, 'PASTE IN FPET RESULTS'!$D:$D, 'Review FPET Inputs'!T$92)</f>
        <v>0</v>
      </c>
      <c r="U49" s="724">
        <f>SUMIFS(INDEX('PASTE IN FPET RESULTS'!$A:$AB,0, MATCH('Review FPET Inputs'!$AE49, 'PASTE IN FPET RESULTS'!$A$1:$AB$1, 0)),  'PASTE IN FPET RESULTS'!$E:$E, $AC49, 'PASTE IN FPET RESULTS'!$F:$F, $AD49, 'PASTE IN FPET RESULTS'!$D:$D, 'Review FPET Inputs'!U$92)</f>
        <v>0</v>
      </c>
      <c r="V49" s="724">
        <f>SUMIFS(INDEX('PASTE IN FPET RESULTS'!$A:$AB,0, MATCH('Review FPET Inputs'!$AE49, 'PASTE IN FPET RESULTS'!$A$1:$AB$1, 0)),  'PASTE IN FPET RESULTS'!$E:$E, $AC49, 'PASTE IN FPET RESULTS'!$F:$F, $AD49, 'PASTE IN FPET RESULTS'!$D:$D, 'Review FPET Inputs'!V$92)</f>
        <v>0</v>
      </c>
      <c r="W49" s="724">
        <f>SUMIFS(INDEX('PASTE IN FPET RESULTS'!$A:$AB,0, MATCH('Review FPET Inputs'!$AE49, 'PASTE IN FPET RESULTS'!$A$1:$AB$1, 0)),  'PASTE IN FPET RESULTS'!$E:$E, $AC49, 'PASTE IN FPET RESULTS'!$F:$F, $AD49, 'PASTE IN FPET RESULTS'!$D:$D, 'Review FPET Inputs'!W$92)</f>
        <v>0</v>
      </c>
      <c r="X49" s="724">
        <f>SUMIFS(INDEX('PASTE IN FPET RESULTS'!$A:$AB,0, MATCH('Review FPET Inputs'!$AE49, 'PASTE IN FPET RESULTS'!$A$1:$AB$1, 0)),  'PASTE IN FPET RESULTS'!$E:$E, $AC49, 'PASTE IN FPET RESULTS'!$F:$F, $AD49, 'PASTE IN FPET RESULTS'!$D:$D, 'Review FPET Inputs'!X$92)</f>
        <v>0</v>
      </c>
      <c r="Y49" s="724">
        <f>SUMIFS(INDEX('PASTE IN FPET RESULTS'!$A:$AB,0, MATCH('Review FPET Inputs'!$AE49, 'PASTE IN FPET RESULTS'!$A$1:$AB$1, 0)),  'PASTE IN FPET RESULTS'!$E:$E, $AC49, 'PASTE IN FPET RESULTS'!$F:$F, $AD49, 'PASTE IN FPET RESULTS'!$D:$D, 'Review FPET Inputs'!Y$92)</f>
        <v>0</v>
      </c>
      <c r="Z49" s="724">
        <f>SUMIFS(INDEX('PASTE IN FPET RESULTS'!$A:$AB,0, MATCH('Review FPET Inputs'!$AE49, 'PASTE IN FPET RESULTS'!$A$1:$AB$1, 0)),  'PASTE IN FPET RESULTS'!$E:$E, $AC49, 'PASTE IN FPET RESULTS'!$F:$F, $AD49, 'PASTE IN FPET RESULTS'!$D:$D, 'Review FPET Inputs'!Z$92)</f>
        <v>0</v>
      </c>
      <c r="AA49" s="724">
        <f>SUMIFS(INDEX('PASTE IN FPET RESULTS'!$A:$AB,0, MATCH('Review FPET Inputs'!$AE49, 'PASTE IN FPET RESULTS'!$A$1:$AB$1, 0)),  'PASTE IN FPET RESULTS'!$E:$E, $AC49, 'PASTE IN FPET RESULTS'!$F:$F, $AD49, 'PASTE IN FPET RESULTS'!$D:$D, 'Review FPET Inputs'!AA$92)</f>
        <v>0</v>
      </c>
      <c r="AC49" s="817" t="s">
        <v>1266</v>
      </c>
      <c r="AD49" s="817">
        <v>0.97499999999999998</v>
      </c>
      <c r="AE49" s="817" t="s">
        <v>1079</v>
      </c>
      <c r="AF49" s="8"/>
      <c r="AG49" s="650" t="s">
        <v>113</v>
      </c>
      <c r="AH49" s="651" t="s">
        <v>114</v>
      </c>
      <c r="AI49" s="619"/>
      <c r="AJ49" s="619"/>
    </row>
    <row r="50" spans="2:36" s="44" customFormat="1" ht="30" customHeight="1" x14ac:dyDescent="0.3">
      <c r="C50" s="832"/>
      <c r="D50" s="631" t="str">
        <f>IF(Language="English", AG50, AH50)</f>
        <v>Demand Satisfied with modern methods (married)</v>
      </c>
      <c r="E50" s="315" t="s">
        <v>511</v>
      </c>
      <c r="F50" s="315">
        <v>97.5</v>
      </c>
      <c r="G50" s="631" t="s">
        <v>1016</v>
      </c>
      <c r="H50" s="631" t="str">
        <f>G50&amp;E50&amp;F50</f>
        <v>mDSMW97.5</v>
      </c>
      <c r="I50" s="724">
        <f>SUMIFS(INDEX('PASTE IN FPET RESULTS'!$A:$AB,0, MATCH('Review FPET Inputs'!$AE50, 'PASTE IN FPET RESULTS'!$A$1:$AB$1, 0)),  'PASTE IN FPET RESULTS'!$E:$E, $AC50, 'PASTE IN FPET RESULTS'!$F:$F, $AD50, 'PASTE IN FPET RESULTS'!$D:$D, I$37)</f>
        <v>0</v>
      </c>
      <c r="J50" s="724">
        <f>SUMIFS(INDEX('PASTE IN FPET RESULTS'!$A:$AB,0, MATCH('Review FPET Inputs'!$AE50, 'PASTE IN FPET RESULTS'!$A$1:$AB$1, 0)),  'PASTE IN FPET RESULTS'!$E:$E, $AC50, 'PASTE IN FPET RESULTS'!$F:$F, $AD50, 'PASTE IN FPET RESULTS'!$D:$D, 'Review FPET Inputs'!J$92)</f>
        <v>0</v>
      </c>
      <c r="K50" s="724">
        <f>SUMIFS(INDEX('PASTE IN FPET RESULTS'!$A:$AB,0, MATCH('Review FPET Inputs'!$AE50, 'PASTE IN FPET RESULTS'!$A$1:$AB$1, 0)),  'PASTE IN FPET RESULTS'!$E:$E, $AC50, 'PASTE IN FPET RESULTS'!$F:$F, $AD50, 'PASTE IN FPET RESULTS'!$D:$D, 'Review FPET Inputs'!K$92)</f>
        <v>0</v>
      </c>
      <c r="L50" s="724">
        <f>SUMIFS(INDEX('PASTE IN FPET RESULTS'!$A:$AB,0, MATCH('Review FPET Inputs'!$AE50, 'PASTE IN FPET RESULTS'!$A$1:$AB$1, 0)),  'PASTE IN FPET RESULTS'!$E:$E, $AC50, 'PASTE IN FPET RESULTS'!$F:$F, $AD50, 'PASTE IN FPET RESULTS'!$D:$D, 'Review FPET Inputs'!L$92)</f>
        <v>0</v>
      </c>
      <c r="M50" s="724">
        <f>SUMIFS(INDEX('PASTE IN FPET RESULTS'!$A:$AB,0, MATCH('Review FPET Inputs'!$AE50, 'PASTE IN FPET RESULTS'!$A$1:$AB$1, 0)),  'PASTE IN FPET RESULTS'!$E:$E, $AC50, 'PASTE IN FPET RESULTS'!$F:$F, $AD50, 'PASTE IN FPET RESULTS'!$D:$D, 'Review FPET Inputs'!M$92)</f>
        <v>0</v>
      </c>
      <c r="N50" s="724">
        <f>SUMIFS(INDEX('PASTE IN FPET RESULTS'!$A:$AB,0, MATCH('Review FPET Inputs'!$AE50, 'PASTE IN FPET RESULTS'!$A$1:$AB$1, 0)),  'PASTE IN FPET RESULTS'!$E:$E, $AC50, 'PASTE IN FPET RESULTS'!$F:$F, $AD50, 'PASTE IN FPET RESULTS'!$D:$D, 'Review FPET Inputs'!N$92)</f>
        <v>0</v>
      </c>
      <c r="O50" s="724">
        <f>SUMIFS(INDEX('PASTE IN FPET RESULTS'!$A:$AB,0, MATCH('Review FPET Inputs'!$AE50, 'PASTE IN FPET RESULTS'!$A$1:$AB$1, 0)),  'PASTE IN FPET RESULTS'!$E:$E, $AC50, 'PASTE IN FPET RESULTS'!$F:$F, $AD50, 'PASTE IN FPET RESULTS'!$D:$D, 'Review FPET Inputs'!O$92)</f>
        <v>0</v>
      </c>
      <c r="P50" s="724">
        <f>SUMIFS(INDEX('PASTE IN FPET RESULTS'!$A:$AB,0, MATCH('Review FPET Inputs'!$AE50, 'PASTE IN FPET RESULTS'!$A$1:$AB$1, 0)),  'PASTE IN FPET RESULTS'!$E:$E, $AC50, 'PASTE IN FPET RESULTS'!$F:$F, $AD50, 'PASTE IN FPET RESULTS'!$D:$D, 'Review FPET Inputs'!P$92)</f>
        <v>0</v>
      </c>
      <c r="Q50" s="724">
        <f>SUMIFS(INDEX('PASTE IN FPET RESULTS'!$A:$AB,0, MATCH('Review FPET Inputs'!$AE50, 'PASTE IN FPET RESULTS'!$A$1:$AB$1, 0)),  'PASTE IN FPET RESULTS'!$E:$E, $AC50, 'PASTE IN FPET RESULTS'!$F:$F, $AD50, 'PASTE IN FPET RESULTS'!$D:$D, 'Review FPET Inputs'!Q$92)</f>
        <v>0</v>
      </c>
      <c r="R50" s="724">
        <f>SUMIFS(INDEX('PASTE IN FPET RESULTS'!$A:$AB,0, MATCH('Review FPET Inputs'!$AE50, 'PASTE IN FPET RESULTS'!$A$1:$AB$1, 0)),  'PASTE IN FPET RESULTS'!$E:$E, $AC50, 'PASTE IN FPET RESULTS'!$F:$F, $AD50, 'PASTE IN FPET RESULTS'!$D:$D, 'Review FPET Inputs'!R$92)</f>
        <v>0</v>
      </c>
      <c r="S50" s="724">
        <f>SUMIFS(INDEX('PASTE IN FPET RESULTS'!$A:$AB,0, MATCH('Review FPET Inputs'!$AE50, 'PASTE IN FPET RESULTS'!$A$1:$AB$1, 0)),  'PASTE IN FPET RESULTS'!$E:$E, $AC50, 'PASTE IN FPET RESULTS'!$F:$F, $AD50, 'PASTE IN FPET RESULTS'!$D:$D, 'Review FPET Inputs'!S$92)</f>
        <v>0</v>
      </c>
      <c r="T50" s="724">
        <f>SUMIFS(INDEX('PASTE IN FPET RESULTS'!$A:$AB,0, MATCH('Review FPET Inputs'!$AE50, 'PASTE IN FPET RESULTS'!$A$1:$AB$1, 0)),  'PASTE IN FPET RESULTS'!$E:$E, $AC50, 'PASTE IN FPET RESULTS'!$F:$F, $AD50, 'PASTE IN FPET RESULTS'!$D:$D, 'Review FPET Inputs'!T$92)</f>
        <v>0</v>
      </c>
      <c r="U50" s="724">
        <f>SUMIFS(INDEX('PASTE IN FPET RESULTS'!$A:$AB,0, MATCH('Review FPET Inputs'!$AE50, 'PASTE IN FPET RESULTS'!$A$1:$AB$1, 0)),  'PASTE IN FPET RESULTS'!$E:$E, $AC50, 'PASTE IN FPET RESULTS'!$F:$F, $AD50, 'PASTE IN FPET RESULTS'!$D:$D, 'Review FPET Inputs'!U$92)</f>
        <v>0</v>
      </c>
      <c r="V50" s="724">
        <f>SUMIFS(INDEX('PASTE IN FPET RESULTS'!$A:$AB,0, MATCH('Review FPET Inputs'!$AE50, 'PASTE IN FPET RESULTS'!$A$1:$AB$1, 0)),  'PASTE IN FPET RESULTS'!$E:$E, $AC50, 'PASTE IN FPET RESULTS'!$F:$F, $AD50, 'PASTE IN FPET RESULTS'!$D:$D, 'Review FPET Inputs'!V$92)</f>
        <v>0</v>
      </c>
      <c r="W50" s="724">
        <f>SUMIFS(INDEX('PASTE IN FPET RESULTS'!$A:$AB,0, MATCH('Review FPET Inputs'!$AE50, 'PASTE IN FPET RESULTS'!$A$1:$AB$1, 0)),  'PASTE IN FPET RESULTS'!$E:$E, $AC50, 'PASTE IN FPET RESULTS'!$F:$F, $AD50, 'PASTE IN FPET RESULTS'!$D:$D, 'Review FPET Inputs'!W$92)</f>
        <v>0</v>
      </c>
      <c r="X50" s="724">
        <f>SUMIFS(INDEX('PASTE IN FPET RESULTS'!$A:$AB,0, MATCH('Review FPET Inputs'!$AE50, 'PASTE IN FPET RESULTS'!$A$1:$AB$1, 0)),  'PASTE IN FPET RESULTS'!$E:$E, $AC50, 'PASTE IN FPET RESULTS'!$F:$F, $AD50, 'PASTE IN FPET RESULTS'!$D:$D, 'Review FPET Inputs'!X$92)</f>
        <v>0</v>
      </c>
      <c r="Y50" s="724">
        <f>SUMIFS(INDEX('PASTE IN FPET RESULTS'!$A:$AB,0, MATCH('Review FPET Inputs'!$AE50, 'PASTE IN FPET RESULTS'!$A$1:$AB$1, 0)),  'PASTE IN FPET RESULTS'!$E:$E, $AC50, 'PASTE IN FPET RESULTS'!$F:$F, $AD50, 'PASTE IN FPET RESULTS'!$D:$D, 'Review FPET Inputs'!Y$92)</f>
        <v>0</v>
      </c>
      <c r="Z50" s="724">
        <f>SUMIFS(INDEX('PASTE IN FPET RESULTS'!$A:$AB,0, MATCH('Review FPET Inputs'!$AE50, 'PASTE IN FPET RESULTS'!$A$1:$AB$1, 0)),  'PASTE IN FPET RESULTS'!$E:$E, $AC50, 'PASTE IN FPET RESULTS'!$F:$F, $AD50, 'PASTE IN FPET RESULTS'!$D:$D, 'Review FPET Inputs'!Z$92)</f>
        <v>0</v>
      </c>
      <c r="AA50" s="724">
        <f>SUMIFS(INDEX('PASTE IN FPET RESULTS'!$A:$AB,0, MATCH('Review FPET Inputs'!$AE50, 'PASTE IN FPET RESULTS'!$A$1:$AB$1, 0)),  'PASTE IN FPET RESULTS'!$E:$E, $AC50, 'PASTE IN FPET RESULTS'!$F:$F, $AD50, 'PASTE IN FPET RESULTS'!$D:$D, 'Review FPET Inputs'!AA$92)</f>
        <v>0</v>
      </c>
      <c r="AC50" s="817" t="s">
        <v>1266</v>
      </c>
      <c r="AD50" s="817">
        <v>0.97499999999999998</v>
      </c>
      <c r="AE50" s="817" t="s">
        <v>1089</v>
      </c>
      <c r="AF50" s="681"/>
      <c r="AG50" s="233" t="s">
        <v>702</v>
      </c>
      <c r="AH50" s="652" t="s">
        <v>793</v>
      </c>
      <c r="AI50" s="619"/>
      <c r="AJ50" s="619"/>
    </row>
    <row r="51" spans="2:36" s="44" customFormat="1" ht="30" customHeight="1" x14ac:dyDescent="0.3">
      <c r="C51" s="832"/>
      <c r="D51" s="631" t="str">
        <f>IF(Language="English", AG51, AH51)</f>
        <v>Unmet need for modern methods (married)</v>
      </c>
      <c r="E51" s="315" t="s">
        <v>511</v>
      </c>
      <c r="F51" s="315">
        <v>97.5</v>
      </c>
      <c r="G51" s="631" t="s">
        <v>1017</v>
      </c>
      <c r="H51" s="631" t="str">
        <f>G51&amp;E51&amp;F51</f>
        <v>mUNMW97.5</v>
      </c>
      <c r="I51" s="724">
        <f>SUMIFS(INDEX('PASTE IN FPET RESULTS'!$A:$AB,0, MATCH('Review FPET Inputs'!$AE51, 'PASTE IN FPET RESULTS'!$A$1:$AB$1, 0)),  'PASTE IN FPET RESULTS'!$E:$E, $AC51, 'PASTE IN FPET RESULTS'!$F:$F, $AD51, 'PASTE IN FPET RESULTS'!$D:$D, I$37)</f>
        <v>0</v>
      </c>
      <c r="J51" s="724">
        <f>SUMIFS(INDEX('PASTE IN FPET RESULTS'!$A:$AB,0, MATCH('Review FPET Inputs'!$AE51, 'PASTE IN FPET RESULTS'!$A$1:$AB$1, 0)),  'PASTE IN FPET RESULTS'!$E:$E, $AC51, 'PASTE IN FPET RESULTS'!$F:$F, $AD51, 'PASTE IN FPET RESULTS'!$D:$D, 'Review FPET Inputs'!J$92)</f>
        <v>0</v>
      </c>
      <c r="K51" s="724">
        <f>SUMIFS(INDEX('PASTE IN FPET RESULTS'!$A:$AB,0, MATCH('Review FPET Inputs'!$AE51, 'PASTE IN FPET RESULTS'!$A$1:$AB$1, 0)),  'PASTE IN FPET RESULTS'!$E:$E, $AC51, 'PASTE IN FPET RESULTS'!$F:$F, $AD51, 'PASTE IN FPET RESULTS'!$D:$D, 'Review FPET Inputs'!K$92)</f>
        <v>0</v>
      </c>
      <c r="L51" s="724">
        <f>SUMIFS(INDEX('PASTE IN FPET RESULTS'!$A:$AB,0, MATCH('Review FPET Inputs'!$AE51, 'PASTE IN FPET RESULTS'!$A$1:$AB$1, 0)),  'PASTE IN FPET RESULTS'!$E:$E, $AC51, 'PASTE IN FPET RESULTS'!$F:$F, $AD51, 'PASTE IN FPET RESULTS'!$D:$D, 'Review FPET Inputs'!L$92)</f>
        <v>0</v>
      </c>
      <c r="M51" s="724">
        <f>SUMIFS(INDEX('PASTE IN FPET RESULTS'!$A:$AB,0, MATCH('Review FPET Inputs'!$AE51, 'PASTE IN FPET RESULTS'!$A$1:$AB$1, 0)),  'PASTE IN FPET RESULTS'!$E:$E, $AC51, 'PASTE IN FPET RESULTS'!$F:$F, $AD51, 'PASTE IN FPET RESULTS'!$D:$D, 'Review FPET Inputs'!M$92)</f>
        <v>0</v>
      </c>
      <c r="N51" s="724">
        <f>SUMIFS(INDEX('PASTE IN FPET RESULTS'!$A:$AB,0, MATCH('Review FPET Inputs'!$AE51, 'PASTE IN FPET RESULTS'!$A$1:$AB$1, 0)),  'PASTE IN FPET RESULTS'!$E:$E, $AC51, 'PASTE IN FPET RESULTS'!$F:$F, $AD51, 'PASTE IN FPET RESULTS'!$D:$D, 'Review FPET Inputs'!N$92)</f>
        <v>0</v>
      </c>
      <c r="O51" s="724">
        <f>SUMIFS(INDEX('PASTE IN FPET RESULTS'!$A:$AB,0, MATCH('Review FPET Inputs'!$AE51, 'PASTE IN FPET RESULTS'!$A$1:$AB$1, 0)),  'PASTE IN FPET RESULTS'!$E:$E, $AC51, 'PASTE IN FPET RESULTS'!$F:$F, $AD51, 'PASTE IN FPET RESULTS'!$D:$D, 'Review FPET Inputs'!O$92)</f>
        <v>0</v>
      </c>
      <c r="P51" s="724">
        <f>SUMIFS(INDEX('PASTE IN FPET RESULTS'!$A:$AB,0, MATCH('Review FPET Inputs'!$AE51, 'PASTE IN FPET RESULTS'!$A$1:$AB$1, 0)),  'PASTE IN FPET RESULTS'!$E:$E, $AC51, 'PASTE IN FPET RESULTS'!$F:$F, $AD51, 'PASTE IN FPET RESULTS'!$D:$D, 'Review FPET Inputs'!P$92)</f>
        <v>0</v>
      </c>
      <c r="Q51" s="724">
        <f>SUMIFS(INDEX('PASTE IN FPET RESULTS'!$A:$AB,0, MATCH('Review FPET Inputs'!$AE51, 'PASTE IN FPET RESULTS'!$A$1:$AB$1, 0)),  'PASTE IN FPET RESULTS'!$E:$E, $AC51, 'PASTE IN FPET RESULTS'!$F:$F, $AD51, 'PASTE IN FPET RESULTS'!$D:$D, 'Review FPET Inputs'!Q$92)</f>
        <v>0</v>
      </c>
      <c r="R51" s="724">
        <f>SUMIFS(INDEX('PASTE IN FPET RESULTS'!$A:$AB,0, MATCH('Review FPET Inputs'!$AE51, 'PASTE IN FPET RESULTS'!$A$1:$AB$1, 0)),  'PASTE IN FPET RESULTS'!$E:$E, $AC51, 'PASTE IN FPET RESULTS'!$F:$F, $AD51, 'PASTE IN FPET RESULTS'!$D:$D, 'Review FPET Inputs'!R$92)</f>
        <v>0</v>
      </c>
      <c r="S51" s="724">
        <f>SUMIFS(INDEX('PASTE IN FPET RESULTS'!$A:$AB,0, MATCH('Review FPET Inputs'!$AE51, 'PASTE IN FPET RESULTS'!$A$1:$AB$1, 0)),  'PASTE IN FPET RESULTS'!$E:$E, $AC51, 'PASTE IN FPET RESULTS'!$F:$F, $AD51, 'PASTE IN FPET RESULTS'!$D:$D, 'Review FPET Inputs'!S$92)</f>
        <v>0</v>
      </c>
      <c r="T51" s="724">
        <f>SUMIFS(INDEX('PASTE IN FPET RESULTS'!$A:$AB,0, MATCH('Review FPET Inputs'!$AE51, 'PASTE IN FPET RESULTS'!$A$1:$AB$1, 0)),  'PASTE IN FPET RESULTS'!$E:$E, $AC51, 'PASTE IN FPET RESULTS'!$F:$F, $AD51, 'PASTE IN FPET RESULTS'!$D:$D, 'Review FPET Inputs'!T$92)</f>
        <v>0</v>
      </c>
      <c r="U51" s="724">
        <f>SUMIFS(INDEX('PASTE IN FPET RESULTS'!$A:$AB,0, MATCH('Review FPET Inputs'!$AE51, 'PASTE IN FPET RESULTS'!$A$1:$AB$1, 0)),  'PASTE IN FPET RESULTS'!$E:$E, $AC51, 'PASTE IN FPET RESULTS'!$F:$F, $AD51, 'PASTE IN FPET RESULTS'!$D:$D, 'Review FPET Inputs'!U$92)</f>
        <v>0</v>
      </c>
      <c r="V51" s="724">
        <f>SUMIFS(INDEX('PASTE IN FPET RESULTS'!$A:$AB,0, MATCH('Review FPET Inputs'!$AE51, 'PASTE IN FPET RESULTS'!$A$1:$AB$1, 0)),  'PASTE IN FPET RESULTS'!$E:$E, $AC51, 'PASTE IN FPET RESULTS'!$F:$F, $AD51, 'PASTE IN FPET RESULTS'!$D:$D, 'Review FPET Inputs'!V$92)</f>
        <v>0</v>
      </c>
      <c r="W51" s="724">
        <f>SUMIFS(INDEX('PASTE IN FPET RESULTS'!$A:$AB,0, MATCH('Review FPET Inputs'!$AE51, 'PASTE IN FPET RESULTS'!$A$1:$AB$1, 0)),  'PASTE IN FPET RESULTS'!$E:$E, $AC51, 'PASTE IN FPET RESULTS'!$F:$F, $AD51, 'PASTE IN FPET RESULTS'!$D:$D, 'Review FPET Inputs'!W$92)</f>
        <v>0</v>
      </c>
      <c r="X51" s="724">
        <f>SUMIFS(INDEX('PASTE IN FPET RESULTS'!$A:$AB,0, MATCH('Review FPET Inputs'!$AE51, 'PASTE IN FPET RESULTS'!$A$1:$AB$1, 0)),  'PASTE IN FPET RESULTS'!$E:$E, $AC51, 'PASTE IN FPET RESULTS'!$F:$F, $AD51, 'PASTE IN FPET RESULTS'!$D:$D, 'Review FPET Inputs'!X$92)</f>
        <v>0</v>
      </c>
      <c r="Y51" s="724">
        <f>SUMIFS(INDEX('PASTE IN FPET RESULTS'!$A:$AB,0, MATCH('Review FPET Inputs'!$AE51, 'PASTE IN FPET RESULTS'!$A$1:$AB$1, 0)),  'PASTE IN FPET RESULTS'!$E:$E, $AC51, 'PASTE IN FPET RESULTS'!$F:$F, $AD51, 'PASTE IN FPET RESULTS'!$D:$D, 'Review FPET Inputs'!Y$92)</f>
        <v>0</v>
      </c>
      <c r="Z51" s="724">
        <f>SUMIFS(INDEX('PASTE IN FPET RESULTS'!$A:$AB,0, MATCH('Review FPET Inputs'!$AE51, 'PASTE IN FPET RESULTS'!$A$1:$AB$1, 0)),  'PASTE IN FPET RESULTS'!$E:$E, $AC51, 'PASTE IN FPET RESULTS'!$F:$F, $AD51, 'PASTE IN FPET RESULTS'!$D:$D, 'Review FPET Inputs'!Z$92)</f>
        <v>0</v>
      </c>
      <c r="AA51" s="724">
        <f>SUMIFS(INDEX('PASTE IN FPET RESULTS'!$A:$AB,0, MATCH('Review FPET Inputs'!$AE51, 'PASTE IN FPET RESULTS'!$A$1:$AB$1, 0)),  'PASTE IN FPET RESULTS'!$E:$E, $AC51, 'PASTE IN FPET RESULTS'!$F:$F, $AD51, 'PASTE IN FPET RESULTS'!$D:$D, 'Review FPET Inputs'!AA$92)</f>
        <v>0</v>
      </c>
      <c r="AC51" s="817" t="s">
        <v>1266</v>
      </c>
      <c r="AD51" s="817">
        <v>0.97499999999999998</v>
      </c>
      <c r="AE51" s="817" t="s">
        <v>1097</v>
      </c>
      <c r="AF51" s="681"/>
      <c r="AG51" s="233" t="s">
        <v>132</v>
      </c>
      <c r="AH51" s="652" t="s">
        <v>133</v>
      </c>
      <c r="AI51" s="619"/>
      <c r="AJ51" s="619"/>
    </row>
    <row r="52" spans="2:36" s="9" customFormat="1" ht="8.25" customHeight="1" x14ac:dyDescent="0.3">
      <c r="AC52" s="716"/>
      <c r="AD52" s="716"/>
      <c r="AE52" s="716"/>
      <c r="AF52" s="8"/>
      <c r="AG52" s="645"/>
      <c r="AH52" s="648"/>
      <c r="AI52" s="10"/>
    </row>
    <row r="53" spans="2:36" s="9" customFormat="1" ht="21" x14ac:dyDescent="0.4">
      <c r="B53" s="833" t="str">
        <f>IF(Language=English, AG53, AH53)&amp; " (2012 - 2030)"</f>
        <v>2-B: Unmarried Women Results &amp; Uncertainty Intervals (2012 - 2030)</v>
      </c>
      <c r="C53" s="834"/>
      <c r="D53" s="834"/>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5"/>
      <c r="AC53" s="823"/>
      <c r="AD53" s="823"/>
      <c r="AE53" s="823"/>
      <c r="AF53" s="569"/>
      <c r="AG53" s="250" t="s">
        <v>1065</v>
      </c>
      <c r="AH53" s="26" t="s">
        <v>1066</v>
      </c>
    </row>
    <row r="54" spans="2:36" s="9" customFormat="1" ht="40.950000000000003" hidden="1" customHeight="1" x14ac:dyDescent="0.4">
      <c r="B54" s="836"/>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8"/>
      <c r="AC54" s="824"/>
      <c r="AD54" s="824"/>
      <c r="AE54" s="824"/>
      <c r="AF54" s="569"/>
      <c r="AG54" s="250"/>
      <c r="AH54" s="26"/>
    </row>
    <row r="55" spans="2:36" s="9" customFormat="1" ht="18.600000000000001" customHeight="1" x14ac:dyDescent="0.3">
      <c r="E55" s="22"/>
      <c r="F55" s="22"/>
      <c r="G55" s="22"/>
      <c r="H55" s="22"/>
      <c r="I55" s="557">
        <v>2012</v>
      </c>
      <c r="J55" s="557">
        <v>2013</v>
      </c>
      <c r="K55" s="557">
        <v>2014</v>
      </c>
      <c r="L55" s="557">
        <v>2015</v>
      </c>
      <c r="M55" s="557">
        <v>2016</v>
      </c>
      <c r="N55" s="557">
        <v>2017</v>
      </c>
      <c r="O55" s="557">
        <v>2018</v>
      </c>
      <c r="P55" s="557">
        <v>2019</v>
      </c>
      <c r="Q55" s="557">
        <v>2020</v>
      </c>
      <c r="R55" s="557">
        <v>2021</v>
      </c>
      <c r="S55" s="557">
        <v>2022</v>
      </c>
      <c r="T55" s="557">
        <v>2023</v>
      </c>
      <c r="U55" s="557">
        <v>2024</v>
      </c>
      <c r="V55" s="557">
        <v>2025</v>
      </c>
      <c r="W55" s="557">
        <v>2026</v>
      </c>
      <c r="X55" s="557">
        <v>2027</v>
      </c>
      <c r="Y55" s="557">
        <v>2028</v>
      </c>
      <c r="Z55" s="557">
        <v>2029</v>
      </c>
      <c r="AA55" s="557">
        <v>2030</v>
      </c>
      <c r="AC55" s="817" t="s">
        <v>1074</v>
      </c>
      <c r="AD55" s="817" t="s">
        <v>1075</v>
      </c>
      <c r="AE55" s="167" t="s">
        <v>28</v>
      </c>
      <c r="AF55" s="8"/>
      <c r="AG55" s="649" t="s">
        <v>972</v>
      </c>
      <c r="AH55" s="649" t="s">
        <v>971</v>
      </c>
    </row>
    <row r="56" spans="2:36" s="9" customFormat="1" ht="30" customHeight="1" x14ac:dyDescent="0.3">
      <c r="C56" s="832" t="str">
        <f>IF(Language="English", AG55, AH55)</f>
        <v>Median (50 Percentile)</v>
      </c>
      <c r="D56" s="631" t="str">
        <f>IF(Language="English", AG56, AH56)</f>
        <v>CPR among unmarried women</v>
      </c>
      <c r="E56" s="315" t="s">
        <v>1018</v>
      </c>
      <c r="F56" s="315">
        <v>50</v>
      </c>
      <c r="G56" s="631" t="s">
        <v>1015</v>
      </c>
      <c r="H56" s="631" t="str">
        <f>G56&amp;E56&amp;F56</f>
        <v>CPUMW50</v>
      </c>
      <c r="I56" s="724">
        <f>SUMIFS(INDEX('PASTE IN FPET RESULTS'!$A:$AB,0, MATCH('Review FPET Inputs'!$AE56, 'PASTE IN FPET RESULTS'!$A$1:$AB$1, 0)),  'PASTE IN FPET RESULTS'!$E:$E, $AC56, 'PASTE IN FPET RESULTS'!$F:$F, $AD56, 'PASTE IN FPET RESULTS'!$D:$D, I$37)</f>
        <v>0</v>
      </c>
      <c r="J56" s="724">
        <f>SUMIFS(INDEX('PASTE IN FPET RESULTS'!$A:$AB,0, MATCH('Review FPET Inputs'!$AE56, 'PASTE IN FPET RESULTS'!$A$1:$AB$1, 0)),  'PASTE IN FPET RESULTS'!$E:$E, $AC56, 'PASTE IN FPET RESULTS'!$F:$F, $AD56, 'PASTE IN FPET RESULTS'!$D:$D, 'Review FPET Inputs'!J$92)</f>
        <v>0</v>
      </c>
      <c r="K56" s="724">
        <f>SUMIFS(INDEX('PASTE IN FPET RESULTS'!$A:$AB,0, MATCH('Review FPET Inputs'!$AE56, 'PASTE IN FPET RESULTS'!$A$1:$AB$1, 0)),  'PASTE IN FPET RESULTS'!$E:$E, $AC56, 'PASTE IN FPET RESULTS'!$F:$F, $AD56, 'PASTE IN FPET RESULTS'!$D:$D, 'Review FPET Inputs'!K$92)</f>
        <v>0</v>
      </c>
      <c r="L56" s="724">
        <f>SUMIFS(INDEX('PASTE IN FPET RESULTS'!$A:$AB,0, MATCH('Review FPET Inputs'!$AE56, 'PASTE IN FPET RESULTS'!$A$1:$AB$1, 0)),  'PASTE IN FPET RESULTS'!$E:$E, $AC56, 'PASTE IN FPET RESULTS'!$F:$F, $AD56, 'PASTE IN FPET RESULTS'!$D:$D, 'Review FPET Inputs'!L$92)</f>
        <v>0</v>
      </c>
      <c r="M56" s="724">
        <f>SUMIFS(INDEX('PASTE IN FPET RESULTS'!$A:$AB,0, MATCH('Review FPET Inputs'!$AE56, 'PASTE IN FPET RESULTS'!$A$1:$AB$1, 0)),  'PASTE IN FPET RESULTS'!$E:$E, $AC56, 'PASTE IN FPET RESULTS'!$F:$F, $AD56, 'PASTE IN FPET RESULTS'!$D:$D, 'Review FPET Inputs'!M$92)</f>
        <v>0</v>
      </c>
      <c r="N56" s="724">
        <f>SUMIFS(INDEX('PASTE IN FPET RESULTS'!$A:$AB,0, MATCH('Review FPET Inputs'!$AE56, 'PASTE IN FPET RESULTS'!$A$1:$AB$1, 0)),  'PASTE IN FPET RESULTS'!$E:$E, $AC56, 'PASTE IN FPET RESULTS'!$F:$F, $AD56, 'PASTE IN FPET RESULTS'!$D:$D, 'Review FPET Inputs'!N$92)</f>
        <v>0</v>
      </c>
      <c r="O56" s="724">
        <f>SUMIFS(INDEX('PASTE IN FPET RESULTS'!$A:$AB,0, MATCH('Review FPET Inputs'!$AE56, 'PASTE IN FPET RESULTS'!$A$1:$AB$1, 0)),  'PASTE IN FPET RESULTS'!$E:$E, $AC56, 'PASTE IN FPET RESULTS'!$F:$F, $AD56, 'PASTE IN FPET RESULTS'!$D:$D, 'Review FPET Inputs'!O$92)</f>
        <v>0</v>
      </c>
      <c r="P56" s="724">
        <f>SUMIFS(INDEX('PASTE IN FPET RESULTS'!$A:$AB,0, MATCH('Review FPET Inputs'!$AE56, 'PASTE IN FPET RESULTS'!$A$1:$AB$1, 0)),  'PASTE IN FPET RESULTS'!$E:$E, $AC56, 'PASTE IN FPET RESULTS'!$F:$F, $AD56, 'PASTE IN FPET RESULTS'!$D:$D, 'Review FPET Inputs'!P$92)</f>
        <v>0</v>
      </c>
      <c r="Q56" s="724">
        <f>SUMIFS(INDEX('PASTE IN FPET RESULTS'!$A:$AB,0, MATCH('Review FPET Inputs'!$AE56, 'PASTE IN FPET RESULTS'!$A$1:$AB$1, 0)),  'PASTE IN FPET RESULTS'!$E:$E, $AC56, 'PASTE IN FPET RESULTS'!$F:$F, $AD56, 'PASTE IN FPET RESULTS'!$D:$D, 'Review FPET Inputs'!Q$92)</f>
        <v>0</v>
      </c>
      <c r="R56" s="724">
        <f>SUMIFS(INDEX('PASTE IN FPET RESULTS'!$A:$AB,0, MATCH('Review FPET Inputs'!$AE56, 'PASTE IN FPET RESULTS'!$A$1:$AB$1, 0)),  'PASTE IN FPET RESULTS'!$E:$E, $AC56, 'PASTE IN FPET RESULTS'!$F:$F, $AD56, 'PASTE IN FPET RESULTS'!$D:$D, 'Review FPET Inputs'!R$92)</f>
        <v>0</v>
      </c>
      <c r="S56" s="724">
        <f>SUMIFS(INDEX('PASTE IN FPET RESULTS'!$A:$AB,0, MATCH('Review FPET Inputs'!$AE56, 'PASTE IN FPET RESULTS'!$A$1:$AB$1, 0)),  'PASTE IN FPET RESULTS'!$E:$E, $AC56, 'PASTE IN FPET RESULTS'!$F:$F, $AD56, 'PASTE IN FPET RESULTS'!$D:$D, 'Review FPET Inputs'!S$92)</f>
        <v>0</v>
      </c>
      <c r="T56" s="724">
        <f>SUMIFS(INDEX('PASTE IN FPET RESULTS'!$A:$AB,0, MATCH('Review FPET Inputs'!$AE56, 'PASTE IN FPET RESULTS'!$A$1:$AB$1, 0)),  'PASTE IN FPET RESULTS'!$E:$E, $AC56, 'PASTE IN FPET RESULTS'!$F:$F, $AD56, 'PASTE IN FPET RESULTS'!$D:$D, 'Review FPET Inputs'!T$92)</f>
        <v>0</v>
      </c>
      <c r="U56" s="724">
        <f>SUMIFS(INDEX('PASTE IN FPET RESULTS'!$A:$AB,0, MATCH('Review FPET Inputs'!$AE56, 'PASTE IN FPET RESULTS'!$A$1:$AB$1, 0)),  'PASTE IN FPET RESULTS'!$E:$E, $AC56, 'PASTE IN FPET RESULTS'!$F:$F, $AD56, 'PASTE IN FPET RESULTS'!$D:$D, 'Review FPET Inputs'!U$92)</f>
        <v>0</v>
      </c>
      <c r="V56" s="724">
        <f>SUMIFS(INDEX('PASTE IN FPET RESULTS'!$A:$AB,0, MATCH('Review FPET Inputs'!$AE56, 'PASTE IN FPET RESULTS'!$A$1:$AB$1, 0)),  'PASTE IN FPET RESULTS'!$E:$E, $AC56, 'PASTE IN FPET RESULTS'!$F:$F, $AD56, 'PASTE IN FPET RESULTS'!$D:$D, 'Review FPET Inputs'!V$92)</f>
        <v>0</v>
      </c>
      <c r="W56" s="724">
        <f>SUMIFS(INDEX('PASTE IN FPET RESULTS'!$A:$AB,0, MATCH('Review FPET Inputs'!$AE56, 'PASTE IN FPET RESULTS'!$A$1:$AB$1, 0)),  'PASTE IN FPET RESULTS'!$E:$E, $AC56, 'PASTE IN FPET RESULTS'!$F:$F, $AD56, 'PASTE IN FPET RESULTS'!$D:$D, 'Review FPET Inputs'!W$92)</f>
        <v>0</v>
      </c>
      <c r="X56" s="724">
        <f>SUMIFS(INDEX('PASTE IN FPET RESULTS'!$A:$AB,0, MATCH('Review FPET Inputs'!$AE56, 'PASTE IN FPET RESULTS'!$A$1:$AB$1, 0)),  'PASTE IN FPET RESULTS'!$E:$E, $AC56, 'PASTE IN FPET RESULTS'!$F:$F, $AD56, 'PASTE IN FPET RESULTS'!$D:$D, 'Review FPET Inputs'!X$92)</f>
        <v>0</v>
      </c>
      <c r="Y56" s="724">
        <f>SUMIFS(INDEX('PASTE IN FPET RESULTS'!$A:$AB,0, MATCH('Review FPET Inputs'!$AE56, 'PASTE IN FPET RESULTS'!$A$1:$AB$1, 0)),  'PASTE IN FPET RESULTS'!$E:$E, $AC56, 'PASTE IN FPET RESULTS'!$F:$F, $AD56, 'PASTE IN FPET RESULTS'!$D:$D, 'Review FPET Inputs'!Y$92)</f>
        <v>0</v>
      </c>
      <c r="Z56" s="724">
        <f>SUMIFS(INDEX('PASTE IN FPET RESULTS'!$A:$AB,0, MATCH('Review FPET Inputs'!$AE56, 'PASTE IN FPET RESULTS'!$A$1:$AB$1, 0)),  'PASTE IN FPET RESULTS'!$E:$E, $AC56, 'PASTE IN FPET RESULTS'!$F:$F, $AD56, 'PASTE IN FPET RESULTS'!$D:$D, 'Review FPET Inputs'!Z$92)</f>
        <v>0</v>
      </c>
      <c r="AA56" s="724">
        <f>SUMIFS(INDEX('PASTE IN FPET RESULTS'!$A:$AB,0, MATCH('Review FPET Inputs'!$AE56, 'PASTE IN FPET RESULTS'!$A$1:$AB$1, 0)),  'PASTE IN FPET RESULTS'!$E:$E, $AC56, 'PASTE IN FPET RESULTS'!$F:$F, $AD56, 'PASTE IN FPET RESULTS'!$D:$D, 'Review FPET Inputs'!AA$92)</f>
        <v>0</v>
      </c>
      <c r="AC56" s="817" t="s">
        <v>1267</v>
      </c>
      <c r="AD56" s="817" t="s">
        <v>1098</v>
      </c>
      <c r="AE56" s="817" t="s">
        <v>1077</v>
      </c>
      <c r="AF56" s="8"/>
      <c r="AG56" s="24" t="s">
        <v>987</v>
      </c>
      <c r="AH56" s="651" t="s">
        <v>988</v>
      </c>
    </row>
    <row r="57" spans="2:36" s="9" customFormat="1" ht="30" customHeight="1" x14ac:dyDescent="0.3">
      <c r="C57" s="832"/>
      <c r="D57" s="631" t="str">
        <f>IF(Language="English", AG57, AH57)</f>
        <v>mCPR among unmarried women</v>
      </c>
      <c r="E57" s="315" t="s">
        <v>1018</v>
      </c>
      <c r="F57" s="315">
        <v>50</v>
      </c>
      <c r="G57" s="631" t="s">
        <v>1014</v>
      </c>
      <c r="H57" s="631" t="str">
        <f>G57&amp;E57&amp;F57</f>
        <v>mCPUMW50</v>
      </c>
      <c r="I57" s="724">
        <f>SUMIFS(INDEX('PASTE IN FPET RESULTS'!$A:$AB,0, MATCH('Review FPET Inputs'!$AE57, 'PASTE IN FPET RESULTS'!$A$1:$AB$1, 0)),  'PASTE IN FPET RESULTS'!$E:$E, $AC57, 'PASTE IN FPET RESULTS'!$F:$F, $AD57, 'PASTE IN FPET RESULTS'!$D:$D, I$37)</f>
        <v>0</v>
      </c>
      <c r="J57" s="724">
        <f>SUMIFS(INDEX('PASTE IN FPET RESULTS'!$A:$AB,0, MATCH('Review FPET Inputs'!$AE57, 'PASTE IN FPET RESULTS'!$A$1:$AB$1, 0)),  'PASTE IN FPET RESULTS'!$E:$E, $AC57, 'PASTE IN FPET RESULTS'!$F:$F, $AD57, 'PASTE IN FPET RESULTS'!$D:$D, 'Review FPET Inputs'!J$92)</f>
        <v>0</v>
      </c>
      <c r="K57" s="724">
        <f>SUMIFS(INDEX('PASTE IN FPET RESULTS'!$A:$AB,0, MATCH('Review FPET Inputs'!$AE57, 'PASTE IN FPET RESULTS'!$A$1:$AB$1, 0)),  'PASTE IN FPET RESULTS'!$E:$E, $AC57, 'PASTE IN FPET RESULTS'!$F:$F, $AD57, 'PASTE IN FPET RESULTS'!$D:$D, 'Review FPET Inputs'!K$92)</f>
        <v>0</v>
      </c>
      <c r="L57" s="724">
        <f>SUMIFS(INDEX('PASTE IN FPET RESULTS'!$A:$AB,0, MATCH('Review FPET Inputs'!$AE57, 'PASTE IN FPET RESULTS'!$A$1:$AB$1, 0)),  'PASTE IN FPET RESULTS'!$E:$E, $AC57, 'PASTE IN FPET RESULTS'!$F:$F, $AD57, 'PASTE IN FPET RESULTS'!$D:$D, 'Review FPET Inputs'!L$92)</f>
        <v>0</v>
      </c>
      <c r="M57" s="724">
        <f>SUMIFS(INDEX('PASTE IN FPET RESULTS'!$A:$AB,0, MATCH('Review FPET Inputs'!$AE57, 'PASTE IN FPET RESULTS'!$A$1:$AB$1, 0)),  'PASTE IN FPET RESULTS'!$E:$E, $AC57, 'PASTE IN FPET RESULTS'!$F:$F, $AD57, 'PASTE IN FPET RESULTS'!$D:$D, 'Review FPET Inputs'!M$92)</f>
        <v>0</v>
      </c>
      <c r="N57" s="724">
        <f>SUMIFS(INDEX('PASTE IN FPET RESULTS'!$A:$AB,0, MATCH('Review FPET Inputs'!$AE57, 'PASTE IN FPET RESULTS'!$A$1:$AB$1, 0)),  'PASTE IN FPET RESULTS'!$E:$E, $AC57, 'PASTE IN FPET RESULTS'!$F:$F, $AD57, 'PASTE IN FPET RESULTS'!$D:$D, 'Review FPET Inputs'!N$92)</f>
        <v>0</v>
      </c>
      <c r="O57" s="724">
        <f>SUMIFS(INDEX('PASTE IN FPET RESULTS'!$A:$AB,0, MATCH('Review FPET Inputs'!$AE57, 'PASTE IN FPET RESULTS'!$A$1:$AB$1, 0)),  'PASTE IN FPET RESULTS'!$E:$E, $AC57, 'PASTE IN FPET RESULTS'!$F:$F, $AD57, 'PASTE IN FPET RESULTS'!$D:$D, 'Review FPET Inputs'!O$92)</f>
        <v>0</v>
      </c>
      <c r="P57" s="724">
        <f>SUMIFS(INDEX('PASTE IN FPET RESULTS'!$A:$AB,0, MATCH('Review FPET Inputs'!$AE57, 'PASTE IN FPET RESULTS'!$A$1:$AB$1, 0)),  'PASTE IN FPET RESULTS'!$E:$E, $AC57, 'PASTE IN FPET RESULTS'!$F:$F, $AD57, 'PASTE IN FPET RESULTS'!$D:$D, 'Review FPET Inputs'!P$92)</f>
        <v>0</v>
      </c>
      <c r="Q57" s="724">
        <f>SUMIFS(INDEX('PASTE IN FPET RESULTS'!$A:$AB,0, MATCH('Review FPET Inputs'!$AE57, 'PASTE IN FPET RESULTS'!$A$1:$AB$1, 0)),  'PASTE IN FPET RESULTS'!$E:$E, $AC57, 'PASTE IN FPET RESULTS'!$F:$F, $AD57, 'PASTE IN FPET RESULTS'!$D:$D, 'Review FPET Inputs'!Q$92)</f>
        <v>0</v>
      </c>
      <c r="R57" s="724">
        <f>SUMIFS(INDEX('PASTE IN FPET RESULTS'!$A:$AB,0, MATCH('Review FPET Inputs'!$AE57, 'PASTE IN FPET RESULTS'!$A$1:$AB$1, 0)),  'PASTE IN FPET RESULTS'!$E:$E, $AC57, 'PASTE IN FPET RESULTS'!$F:$F, $AD57, 'PASTE IN FPET RESULTS'!$D:$D, 'Review FPET Inputs'!R$92)</f>
        <v>0</v>
      </c>
      <c r="S57" s="724">
        <f>SUMIFS(INDEX('PASTE IN FPET RESULTS'!$A:$AB,0, MATCH('Review FPET Inputs'!$AE57, 'PASTE IN FPET RESULTS'!$A$1:$AB$1, 0)),  'PASTE IN FPET RESULTS'!$E:$E, $AC57, 'PASTE IN FPET RESULTS'!$F:$F, $AD57, 'PASTE IN FPET RESULTS'!$D:$D, 'Review FPET Inputs'!S$92)</f>
        <v>0</v>
      </c>
      <c r="T57" s="724">
        <f>SUMIFS(INDEX('PASTE IN FPET RESULTS'!$A:$AB,0, MATCH('Review FPET Inputs'!$AE57, 'PASTE IN FPET RESULTS'!$A$1:$AB$1, 0)),  'PASTE IN FPET RESULTS'!$E:$E, $AC57, 'PASTE IN FPET RESULTS'!$F:$F, $AD57, 'PASTE IN FPET RESULTS'!$D:$D, 'Review FPET Inputs'!T$92)</f>
        <v>0</v>
      </c>
      <c r="U57" s="724">
        <f>SUMIFS(INDEX('PASTE IN FPET RESULTS'!$A:$AB,0, MATCH('Review FPET Inputs'!$AE57, 'PASTE IN FPET RESULTS'!$A$1:$AB$1, 0)),  'PASTE IN FPET RESULTS'!$E:$E, $AC57, 'PASTE IN FPET RESULTS'!$F:$F, $AD57, 'PASTE IN FPET RESULTS'!$D:$D, 'Review FPET Inputs'!U$92)</f>
        <v>0</v>
      </c>
      <c r="V57" s="724">
        <f>SUMIFS(INDEX('PASTE IN FPET RESULTS'!$A:$AB,0, MATCH('Review FPET Inputs'!$AE57, 'PASTE IN FPET RESULTS'!$A$1:$AB$1, 0)),  'PASTE IN FPET RESULTS'!$E:$E, $AC57, 'PASTE IN FPET RESULTS'!$F:$F, $AD57, 'PASTE IN FPET RESULTS'!$D:$D, 'Review FPET Inputs'!V$92)</f>
        <v>0</v>
      </c>
      <c r="W57" s="724">
        <f>SUMIFS(INDEX('PASTE IN FPET RESULTS'!$A:$AB,0, MATCH('Review FPET Inputs'!$AE57, 'PASTE IN FPET RESULTS'!$A$1:$AB$1, 0)),  'PASTE IN FPET RESULTS'!$E:$E, $AC57, 'PASTE IN FPET RESULTS'!$F:$F, $AD57, 'PASTE IN FPET RESULTS'!$D:$D, 'Review FPET Inputs'!W$92)</f>
        <v>0</v>
      </c>
      <c r="X57" s="724">
        <f>SUMIFS(INDEX('PASTE IN FPET RESULTS'!$A:$AB,0, MATCH('Review FPET Inputs'!$AE57, 'PASTE IN FPET RESULTS'!$A$1:$AB$1, 0)),  'PASTE IN FPET RESULTS'!$E:$E, $AC57, 'PASTE IN FPET RESULTS'!$F:$F, $AD57, 'PASTE IN FPET RESULTS'!$D:$D, 'Review FPET Inputs'!X$92)</f>
        <v>0</v>
      </c>
      <c r="Y57" s="724">
        <f>SUMIFS(INDEX('PASTE IN FPET RESULTS'!$A:$AB,0, MATCH('Review FPET Inputs'!$AE57, 'PASTE IN FPET RESULTS'!$A$1:$AB$1, 0)),  'PASTE IN FPET RESULTS'!$E:$E, $AC57, 'PASTE IN FPET RESULTS'!$F:$F, $AD57, 'PASTE IN FPET RESULTS'!$D:$D, 'Review FPET Inputs'!Y$92)</f>
        <v>0</v>
      </c>
      <c r="Z57" s="724">
        <f>SUMIFS(INDEX('PASTE IN FPET RESULTS'!$A:$AB,0, MATCH('Review FPET Inputs'!$AE57, 'PASTE IN FPET RESULTS'!$A$1:$AB$1, 0)),  'PASTE IN FPET RESULTS'!$E:$E, $AC57, 'PASTE IN FPET RESULTS'!$F:$F, $AD57, 'PASTE IN FPET RESULTS'!$D:$D, 'Review FPET Inputs'!Z$92)</f>
        <v>0</v>
      </c>
      <c r="AA57" s="724">
        <f>SUMIFS(INDEX('PASTE IN FPET RESULTS'!$A:$AB,0, MATCH('Review FPET Inputs'!$AE57, 'PASTE IN FPET RESULTS'!$A$1:$AB$1, 0)),  'PASTE IN FPET RESULTS'!$E:$E, $AC57, 'PASTE IN FPET RESULTS'!$F:$F, $AD57, 'PASTE IN FPET RESULTS'!$D:$D, 'Review FPET Inputs'!AA$92)</f>
        <v>0</v>
      </c>
      <c r="AC57" s="817" t="s">
        <v>1267</v>
      </c>
      <c r="AD57" s="817" t="s">
        <v>1098</v>
      </c>
      <c r="AE57" s="817" t="s">
        <v>1079</v>
      </c>
      <c r="AF57" s="8"/>
      <c r="AG57" s="650" t="s">
        <v>989</v>
      </c>
      <c r="AH57" s="651" t="s">
        <v>990</v>
      </c>
      <c r="AI57" s="619"/>
      <c r="AJ57" s="619"/>
    </row>
    <row r="58" spans="2:36" s="44" customFormat="1" ht="30" customHeight="1" x14ac:dyDescent="0.3">
      <c r="B58" s="9"/>
      <c r="C58" s="832"/>
      <c r="D58" s="631" t="str">
        <f>IF(Language="English", AG58, AH58)</f>
        <v>Demand Satisfied with modern methods (unmarried)</v>
      </c>
      <c r="E58" s="315" t="s">
        <v>1018</v>
      </c>
      <c r="F58" s="315">
        <v>50</v>
      </c>
      <c r="G58" s="631" t="s">
        <v>1016</v>
      </c>
      <c r="H58" s="631" t="str">
        <f>G58&amp;E58&amp;F58</f>
        <v>mDSUMW50</v>
      </c>
      <c r="I58" s="724">
        <f>SUMIFS(INDEX('PASTE IN FPET RESULTS'!$A:$AB,0, MATCH('Review FPET Inputs'!$AE58, 'PASTE IN FPET RESULTS'!$A$1:$AB$1, 0)),  'PASTE IN FPET RESULTS'!$E:$E, $AC58, 'PASTE IN FPET RESULTS'!$F:$F, $AD58, 'PASTE IN FPET RESULTS'!$D:$D, I$37)</f>
        <v>0</v>
      </c>
      <c r="J58" s="724">
        <f>SUMIFS(INDEX('PASTE IN FPET RESULTS'!$A:$AB,0, MATCH('Review FPET Inputs'!$AE58, 'PASTE IN FPET RESULTS'!$A$1:$AB$1, 0)),  'PASTE IN FPET RESULTS'!$E:$E, $AC58, 'PASTE IN FPET RESULTS'!$F:$F, $AD58, 'PASTE IN FPET RESULTS'!$D:$D, 'Review FPET Inputs'!J$92)</f>
        <v>0</v>
      </c>
      <c r="K58" s="724">
        <f>SUMIFS(INDEX('PASTE IN FPET RESULTS'!$A:$AB,0, MATCH('Review FPET Inputs'!$AE58, 'PASTE IN FPET RESULTS'!$A$1:$AB$1, 0)),  'PASTE IN FPET RESULTS'!$E:$E, $AC58, 'PASTE IN FPET RESULTS'!$F:$F, $AD58, 'PASTE IN FPET RESULTS'!$D:$D, 'Review FPET Inputs'!K$92)</f>
        <v>0</v>
      </c>
      <c r="L58" s="724">
        <f>SUMIFS(INDEX('PASTE IN FPET RESULTS'!$A:$AB,0, MATCH('Review FPET Inputs'!$AE58, 'PASTE IN FPET RESULTS'!$A$1:$AB$1, 0)),  'PASTE IN FPET RESULTS'!$E:$E, $AC58, 'PASTE IN FPET RESULTS'!$F:$F, $AD58, 'PASTE IN FPET RESULTS'!$D:$D, 'Review FPET Inputs'!L$92)</f>
        <v>0</v>
      </c>
      <c r="M58" s="724">
        <f>SUMIFS(INDEX('PASTE IN FPET RESULTS'!$A:$AB,0, MATCH('Review FPET Inputs'!$AE58, 'PASTE IN FPET RESULTS'!$A$1:$AB$1, 0)),  'PASTE IN FPET RESULTS'!$E:$E, $AC58, 'PASTE IN FPET RESULTS'!$F:$F, $AD58, 'PASTE IN FPET RESULTS'!$D:$D, 'Review FPET Inputs'!M$92)</f>
        <v>0</v>
      </c>
      <c r="N58" s="724">
        <f>SUMIFS(INDEX('PASTE IN FPET RESULTS'!$A:$AB,0, MATCH('Review FPET Inputs'!$AE58, 'PASTE IN FPET RESULTS'!$A$1:$AB$1, 0)),  'PASTE IN FPET RESULTS'!$E:$E, $AC58, 'PASTE IN FPET RESULTS'!$F:$F, $AD58, 'PASTE IN FPET RESULTS'!$D:$D, 'Review FPET Inputs'!N$92)</f>
        <v>0</v>
      </c>
      <c r="O58" s="724">
        <f>SUMIFS(INDEX('PASTE IN FPET RESULTS'!$A:$AB,0, MATCH('Review FPET Inputs'!$AE58, 'PASTE IN FPET RESULTS'!$A$1:$AB$1, 0)),  'PASTE IN FPET RESULTS'!$E:$E, $AC58, 'PASTE IN FPET RESULTS'!$F:$F, $AD58, 'PASTE IN FPET RESULTS'!$D:$D, 'Review FPET Inputs'!O$92)</f>
        <v>0</v>
      </c>
      <c r="P58" s="724">
        <f>SUMIFS(INDEX('PASTE IN FPET RESULTS'!$A:$AB,0, MATCH('Review FPET Inputs'!$AE58, 'PASTE IN FPET RESULTS'!$A$1:$AB$1, 0)),  'PASTE IN FPET RESULTS'!$E:$E, $AC58, 'PASTE IN FPET RESULTS'!$F:$F, $AD58, 'PASTE IN FPET RESULTS'!$D:$D, 'Review FPET Inputs'!P$92)</f>
        <v>0</v>
      </c>
      <c r="Q58" s="724">
        <f>SUMIFS(INDEX('PASTE IN FPET RESULTS'!$A:$AB,0, MATCH('Review FPET Inputs'!$AE58, 'PASTE IN FPET RESULTS'!$A$1:$AB$1, 0)),  'PASTE IN FPET RESULTS'!$E:$E, $AC58, 'PASTE IN FPET RESULTS'!$F:$F, $AD58, 'PASTE IN FPET RESULTS'!$D:$D, 'Review FPET Inputs'!Q$92)</f>
        <v>0</v>
      </c>
      <c r="R58" s="724">
        <f>SUMIFS(INDEX('PASTE IN FPET RESULTS'!$A:$AB,0, MATCH('Review FPET Inputs'!$AE58, 'PASTE IN FPET RESULTS'!$A$1:$AB$1, 0)),  'PASTE IN FPET RESULTS'!$E:$E, $AC58, 'PASTE IN FPET RESULTS'!$F:$F, $AD58, 'PASTE IN FPET RESULTS'!$D:$D, 'Review FPET Inputs'!R$92)</f>
        <v>0</v>
      </c>
      <c r="S58" s="724">
        <f>SUMIFS(INDEX('PASTE IN FPET RESULTS'!$A:$AB,0, MATCH('Review FPET Inputs'!$AE58, 'PASTE IN FPET RESULTS'!$A$1:$AB$1, 0)),  'PASTE IN FPET RESULTS'!$E:$E, $AC58, 'PASTE IN FPET RESULTS'!$F:$F, $AD58, 'PASTE IN FPET RESULTS'!$D:$D, 'Review FPET Inputs'!S$92)</f>
        <v>0</v>
      </c>
      <c r="T58" s="724">
        <f>SUMIFS(INDEX('PASTE IN FPET RESULTS'!$A:$AB,0, MATCH('Review FPET Inputs'!$AE58, 'PASTE IN FPET RESULTS'!$A$1:$AB$1, 0)),  'PASTE IN FPET RESULTS'!$E:$E, $AC58, 'PASTE IN FPET RESULTS'!$F:$F, $AD58, 'PASTE IN FPET RESULTS'!$D:$D, 'Review FPET Inputs'!T$92)</f>
        <v>0</v>
      </c>
      <c r="U58" s="724">
        <f>SUMIFS(INDEX('PASTE IN FPET RESULTS'!$A:$AB,0, MATCH('Review FPET Inputs'!$AE58, 'PASTE IN FPET RESULTS'!$A$1:$AB$1, 0)),  'PASTE IN FPET RESULTS'!$E:$E, $AC58, 'PASTE IN FPET RESULTS'!$F:$F, $AD58, 'PASTE IN FPET RESULTS'!$D:$D, 'Review FPET Inputs'!U$92)</f>
        <v>0</v>
      </c>
      <c r="V58" s="724">
        <f>SUMIFS(INDEX('PASTE IN FPET RESULTS'!$A:$AB,0, MATCH('Review FPET Inputs'!$AE58, 'PASTE IN FPET RESULTS'!$A$1:$AB$1, 0)),  'PASTE IN FPET RESULTS'!$E:$E, $AC58, 'PASTE IN FPET RESULTS'!$F:$F, $AD58, 'PASTE IN FPET RESULTS'!$D:$D, 'Review FPET Inputs'!V$92)</f>
        <v>0</v>
      </c>
      <c r="W58" s="724">
        <f>SUMIFS(INDEX('PASTE IN FPET RESULTS'!$A:$AB,0, MATCH('Review FPET Inputs'!$AE58, 'PASTE IN FPET RESULTS'!$A$1:$AB$1, 0)),  'PASTE IN FPET RESULTS'!$E:$E, $AC58, 'PASTE IN FPET RESULTS'!$F:$F, $AD58, 'PASTE IN FPET RESULTS'!$D:$D, 'Review FPET Inputs'!W$92)</f>
        <v>0</v>
      </c>
      <c r="X58" s="724">
        <f>SUMIFS(INDEX('PASTE IN FPET RESULTS'!$A:$AB,0, MATCH('Review FPET Inputs'!$AE58, 'PASTE IN FPET RESULTS'!$A$1:$AB$1, 0)),  'PASTE IN FPET RESULTS'!$E:$E, $AC58, 'PASTE IN FPET RESULTS'!$F:$F, $AD58, 'PASTE IN FPET RESULTS'!$D:$D, 'Review FPET Inputs'!X$92)</f>
        <v>0</v>
      </c>
      <c r="Y58" s="724">
        <f>SUMIFS(INDEX('PASTE IN FPET RESULTS'!$A:$AB,0, MATCH('Review FPET Inputs'!$AE58, 'PASTE IN FPET RESULTS'!$A$1:$AB$1, 0)),  'PASTE IN FPET RESULTS'!$E:$E, $AC58, 'PASTE IN FPET RESULTS'!$F:$F, $AD58, 'PASTE IN FPET RESULTS'!$D:$D, 'Review FPET Inputs'!Y$92)</f>
        <v>0</v>
      </c>
      <c r="Z58" s="724">
        <f>SUMIFS(INDEX('PASTE IN FPET RESULTS'!$A:$AB,0, MATCH('Review FPET Inputs'!$AE58, 'PASTE IN FPET RESULTS'!$A$1:$AB$1, 0)),  'PASTE IN FPET RESULTS'!$E:$E, $AC58, 'PASTE IN FPET RESULTS'!$F:$F, $AD58, 'PASTE IN FPET RESULTS'!$D:$D, 'Review FPET Inputs'!Z$92)</f>
        <v>0</v>
      </c>
      <c r="AA58" s="724">
        <f>SUMIFS(INDEX('PASTE IN FPET RESULTS'!$A:$AB,0, MATCH('Review FPET Inputs'!$AE58, 'PASTE IN FPET RESULTS'!$A$1:$AB$1, 0)),  'PASTE IN FPET RESULTS'!$E:$E, $AC58, 'PASTE IN FPET RESULTS'!$F:$F, $AD58, 'PASTE IN FPET RESULTS'!$D:$D, 'Review FPET Inputs'!AA$92)</f>
        <v>0</v>
      </c>
      <c r="AC58" s="817" t="s">
        <v>1267</v>
      </c>
      <c r="AD58" s="817" t="s">
        <v>1098</v>
      </c>
      <c r="AE58" s="817" t="s">
        <v>1089</v>
      </c>
      <c r="AF58" s="681"/>
      <c r="AG58" s="233" t="s">
        <v>993</v>
      </c>
      <c r="AH58" s="652" t="s">
        <v>994</v>
      </c>
      <c r="AI58" s="233" t="s">
        <v>993</v>
      </c>
      <c r="AJ58" s="652" t="s">
        <v>994</v>
      </c>
    </row>
    <row r="59" spans="2:36" s="44" customFormat="1" ht="30" customHeight="1" x14ac:dyDescent="0.3">
      <c r="B59" s="9"/>
      <c r="C59" s="832"/>
      <c r="D59" s="631" t="str">
        <f>IF(Language="English", AG59, AH59)</f>
        <v>Unmet need for modern methods (unmarried)</v>
      </c>
      <c r="E59" s="315" t="s">
        <v>1018</v>
      </c>
      <c r="F59" s="315">
        <v>50</v>
      </c>
      <c r="G59" s="631" t="s">
        <v>1017</v>
      </c>
      <c r="H59" s="631" t="str">
        <f>G59&amp;E59&amp;F59</f>
        <v>mUNUMW50</v>
      </c>
      <c r="I59" s="724">
        <f>SUMIFS(INDEX('PASTE IN FPET RESULTS'!$A:$AB,0, MATCH('Review FPET Inputs'!$AE59, 'PASTE IN FPET RESULTS'!$A$1:$AB$1, 0)),  'PASTE IN FPET RESULTS'!$E:$E, $AC59, 'PASTE IN FPET RESULTS'!$F:$F, $AD59, 'PASTE IN FPET RESULTS'!$D:$D, I$37)</f>
        <v>0</v>
      </c>
      <c r="J59" s="724">
        <f>SUMIFS(INDEX('PASTE IN FPET RESULTS'!$A:$AB,0, MATCH('Review FPET Inputs'!$AE59, 'PASTE IN FPET RESULTS'!$A$1:$AB$1, 0)),  'PASTE IN FPET RESULTS'!$E:$E, $AC59, 'PASTE IN FPET RESULTS'!$F:$F, $AD59, 'PASTE IN FPET RESULTS'!$D:$D, 'Review FPET Inputs'!J$92)</f>
        <v>0</v>
      </c>
      <c r="K59" s="724">
        <f>SUMIFS(INDEX('PASTE IN FPET RESULTS'!$A:$AB,0, MATCH('Review FPET Inputs'!$AE59, 'PASTE IN FPET RESULTS'!$A$1:$AB$1, 0)),  'PASTE IN FPET RESULTS'!$E:$E, $AC59, 'PASTE IN FPET RESULTS'!$F:$F, $AD59, 'PASTE IN FPET RESULTS'!$D:$D, 'Review FPET Inputs'!K$92)</f>
        <v>0</v>
      </c>
      <c r="L59" s="724">
        <f>SUMIFS(INDEX('PASTE IN FPET RESULTS'!$A:$AB,0, MATCH('Review FPET Inputs'!$AE59, 'PASTE IN FPET RESULTS'!$A$1:$AB$1, 0)),  'PASTE IN FPET RESULTS'!$E:$E, $AC59, 'PASTE IN FPET RESULTS'!$F:$F, $AD59, 'PASTE IN FPET RESULTS'!$D:$D, 'Review FPET Inputs'!L$92)</f>
        <v>0</v>
      </c>
      <c r="M59" s="724">
        <f>SUMIFS(INDEX('PASTE IN FPET RESULTS'!$A:$AB,0, MATCH('Review FPET Inputs'!$AE59, 'PASTE IN FPET RESULTS'!$A$1:$AB$1, 0)),  'PASTE IN FPET RESULTS'!$E:$E, $AC59, 'PASTE IN FPET RESULTS'!$F:$F, $AD59, 'PASTE IN FPET RESULTS'!$D:$D, 'Review FPET Inputs'!M$92)</f>
        <v>0</v>
      </c>
      <c r="N59" s="724">
        <f>SUMIFS(INDEX('PASTE IN FPET RESULTS'!$A:$AB,0, MATCH('Review FPET Inputs'!$AE59, 'PASTE IN FPET RESULTS'!$A$1:$AB$1, 0)),  'PASTE IN FPET RESULTS'!$E:$E, $AC59, 'PASTE IN FPET RESULTS'!$F:$F, $AD59, 'PASTE IN FPET RESULTS'!$D:$D, 'Review FPET Inputs'!N$92)</f>
        <v>0</v>
      </c>
      <c r="O59" s="724">
        <f>SUMIFS(INDEX('PASTE IN FPET RESULTS'!$A:$AB,0, MATCH('Review FPET Inputs'!$AE59, 'PASTE IN FPET RESULTS'!$A$1:$AB$1, 0)),  'PASTE IN FPET RESULTS'!$E:$E, $AC59, 'PASTE IN FPET RESULTS'!$F:$F, $AD59, 'PASTE IN FPET RESULTS'!$D:$D, 'Review FPET Inputs'!O$92)</f>
        <v>0</v>
      </c>
      <c r="P59" s="724">
        <f>SUMIFS(INDEX('PASTE IN FPET RESULTS'!$A:$AB,0, MATCH('Review FPET Inputs'!$AE59, 'PASTE IN FPET RESULTS'!$A$1:$AB$1, 0)),  'PASTE IN FPET RESULTS'!$E:$E, $AC59, 'PASTE IN FPET RESULTS'!$F:$F, $AD59, 'PASTE IN FPET RESULTS'!$D:$D, 'Review FPET Inputs'!P$92)</f>
        <v>0</v>
      </c>
      <c r="Q59" s="724">
        <f>SUMIFS(INDEX('PASTE IN FPET RESULTS'!$A:$AB,0, MATCH('Review FPET Inputs'!$AE59, 'PASTE IN FPET RESULTS'!$A$1:$AB$1, 0)),  'PASTE IN FPET RESULTS'!$E:$E, $AC59, 'PASTE IN FPET RESULTS'!$F:$F, $AD59, 'PASTE IN FPET RESULTS'!$D:$D, 'Review FPET Inputs'!Q$92)</f>
        <v>0</v>
      </c>
      <c r="R59" s="724">
        <f>SUMIFS(INDEX('PASTE IN FPET RESULTS'!$A:$AB,0, MATCH('Review FPET Inputs'!$AE59, 'PASTE IN FPET RESULTS'!$A$1:$AB$1, 0)),  'PASTE IN FPET RESULTS'!$E:$E, $AC59, 'PASTE IN FPET RESULTS'!$F:$F, $AD59, 'PASTE IN FPET RESULTS'!$D:$D, 'Review FPET Inputs'!R$92)</f>
        <v>0</v>
      </c>
      <c r="S59" s="724">
        <f>SUMIFS(INDEX('PASTE IN FPET RESULTS'!$A:$AB,0, MATCH('Review FPET Inputs'!$AE59, 'PASTE IN FPET RESULTS'!$A$1:$AB$1, 0)),  'PASTE IN FPET RESULTS'!$E:$E, $AC59, 'PASTE IN FPET RESULTS'!$F:$F, $AD59, 'PASTE IN FPET RESULTS'!$D:$D, 'Review FPET Inputs'!S$92)</f>
        <v>0</v>
      </c>
      <c r="T59" s="724">
        <f>SUMIFS(INDEX('PASTE IN FPET RESULTS'!$A:$AB,0, MATCH('Review FPET Inputs'!$AE59, 'PASTE IN FPET RESULTS'!$A$1:$AB$1, 0)),  'PASTE IN FPET RESULTS'!$E:$E, $AC59, 'PASTE IN FPET RESULTS'!$F:$F, $AD59, 'PASTE IN FPET RESULTS'!$D:$D, 'Review FPET Inputs'!T$92)</f>
        <v>0</v>
      </c>
      <c r="U59" s="724">
        <f>SUMIFS(INDEX('PASTE IN FPET RESULTS'!$A:$AB,0, MATCH('Review FPET Inputs'!$AE59, 'PASTE IN FPET RESULTS'!$A$1:$AB$1, 0)),  'PASTE IN FPET RESULTS'!$E:$E, $AC59, 'PASTE IN FPET RESULTS'!$F:$F, $AD59, 'PASTE IN FPET RESULTS'!$D:$D, 'Review FPET Inputs'!U$92)</f>
        <v>0</v>
      </c>
      <c r="V59" s="724">
        <f>SUMIFS(INDEX('PASTE IN FPET RESULTS'!$A:$AB,0, MATCH('Review FPET Inputs'!$AE59, 'PASTE IN FPET RESULTS'!$A$1:$AB$1, 0)),  'PASTE IN FPET RESULTS'!$E:$E, $AC59, 'PASTE IN FPET RESULTS'!$F:$F, $AD59, 'PASTE IN FPET RESULTS'!$D:$D, 'Review FPET Inputs'!V$92)</f>
        <v>0</v>
      </c>
      <c r="W59" s="724">
        <f>SUMIFS(INDEX('PASTE IN FPET RESULTS'!$A:$AB,0, MATCH('Review FPET Inputs'!$AE59, 'PASTE IN FPET RESULTS'!$A$1:$AB$1, 0)),  'PASTE IN FPET RESULTS'!$E:$E, $AC59, 'PASTE IN FPET RESULTS'!$F:$F, $AD59, 'PASTE IN FPET RESULTS'!$D:$D, 'Review FPET Inputs'!W$92)</f>
        <v>0</v>
      </c>
      <c r="X59" s="724">
        <f>SUMIFS(INDEX('PASTE IN FPET RESULTS'!$A:$AB,0, MATCH('Review FPET Inputs'!$AE59, 'PASTE IN FPET RESULTS'!$A$1:$AB$1, 0)),  'PASTE IN FPET RESULTS'!$E:$E, $AC59, 'PASTE IN FPET RESULTS'!$F:$F, $AD59, 'PASTE IN FPET RESULTS'!$D:$D, 'Review FPET Inputs'!X$92)</f>
        <v>0</v>
      </c>
      <c r="Y59" s="724">
        <f>SUMIFS(INDEX('PASTE IN FPET RESULTS'!$A:$AB,0, MATCH('Review FPET Inputs'!$AE59, 'PASTE IN FPET RESULTS'!$A$1:$AB$1, 0)),  'PASTE IN FPET RESULTS'!$E:$E, $AC59, 'PASTE IN FPET RESULTS'!$F:$F, $AD59, 'PASTE IN FPET RESULTS'!$D:$D, 'Review FPET Inputs'!Y$92)</f>
        <v>0</v>
      </c>
      <c r="Z59" s="724">
        <f>SUMIFS(INDEX('PASTE IN FPET RESULTS'!$A:$AB,0, MATCH('Review FPET Inputs'!$AE59, 'PASTE IN FPET RESULTS'!$A$1:$AB$1, 0)),  'PASTE IN FPET RESULTS'!$E:$E, $AC59, 'PASTE IN FPET RESULTS'!$F:$F, $AD59, 'PASTE IN FPET RESULTS'!$D:$D, 'Review FPET Inputs'!Z$92)</f>
        <v>0</v>
      </c>
      <c r="AA59" s="724">
        <f>SUMIFS(INDEX('PASTE IN FPET RESULTS'!$A:$AB,0, MATCH('Review FPET Inputs'!$AE59, 'PASTE IN FPET RESULTS'!$A$1:$AB$1, 0)),  'PASTE IN FPET RESULTS'!$E:$E, $AC59, 'PASTE IN FPET RESULTS'!$F:$F, $AD59, 'PASTE IN FPET RESULTS'!$D:$D, 'Review FPET Inputs'!AA$92)</f>
        <v>0</v>
      </c>
      <c r="AC59" s="817" t="s">
        <v>1267</v>
      </c>
      <c r="AD59" s="817" t="s">
        <v>1098</v>
      </c>
      <c r="AE59" s="817" t="s">
        <v>1097</v>
      </c>
      <c r="AF59" s="681"/>
      <c r="AG59" s="233" t="s">
        <v>992</v>
      </c>
      <c r="AH59" s="652" t="s">
        <v>991</v>
      </c>
      <c r="AI59" s="619"/>
      <c r="AJ59" s="619"/>
    </row>
    <row r="60" spans="2:36" s="9" customFormat="1" ht="7.2" customHeight="1" x14ac:dyDescent="0.3">
      <c r="D60" s="16"/>
      <c r="G60" s="16"/>
      <c r="H60" s="16"/>
      <c r="AC60" s="716"/>
      <c r="AD60" s="716"/>
      <c r="AE60" s="716"/>
      <c r="AF60" s="8"/>
      <c r="AG60" s="647" t="s">
        <v>1012</v>
      </c>
      <c r="AH60" s="647" t="s">
        <v>967</v>
      </c>
    </row>
    <row r="61" spans="2:36" s="9" customFormat="1" ht="30" customHeight="1" x14ac:dyDescent="0.3">
      <c r="C61" s="832" t="str">
        <f>IF(Language="English", AG60, AH60)</f>
        <v>Lower Bound (2.5 Percentile)</v>
      </c>
      <c r="D61" s="631" t="str">
        <f>IF(Language="English", AG61, AH61)</f>
        <v>CPR among unmarried women</v>
      </c>
      <c r="E61" s="315" t="s">
        <v>1018</v>
      </c>
      <c r="F61" s="315">
        <v>2.5</v>
      </c>
      <c r="G61" s="631" t="s">
        <v>1015</v>
      </c>
      <c r="H61" s="631" t="str">
        <f>G61&amp;E61&amp;F61</f>
        <v>CPUMW2.5</v>
      </c>
      <c r="I61" s="724">
        <f>SUMIFS(INDEX('PASTE IN FPET RESULTS'!$A:$AB,0, MATCH('Review FPET Inputs'!$AE61, 'PASTE IN FPET RESULTS'!$A$1:$AB$1, 0)),  'PASTE IN FPET RESULTS'!$E:$E, $AC61, 'PASTE IN FPET RESULTS'!$F:$F, $AD61, 'PASTE IN FPET RESULTS'!$D:$D, I$37)</f>
        <v>0</v>
      </c>
      <c r="J61" s="724">
        <f>SUMIFS(INDEX('PASTE IN FPET RESULTS'!$A:$AB,0, MATCH('Review FPET Inputs'!$AE61, 'PASTE IN FPET RESULTS'!$A$1:$AB$1, 0)),  'PASTE IN FPET RESULTS'!$E:$E, $AC61, 'PASTE IN FPET RESULTS'!$F:$F, $AD61, 'PASTE IN FPET RESULTS'!$D:$D, 'Review FPET Inputs'!J$92)</f>
        <v>0</v>
      </c>
      <c r="K61" s="724">
        <f>SUMIFS(INDEX('PASTE IN FPET RESULTS'!$A:$AB,0, MATCH('Review FPET Inputs'!$AE61, 'PASTE IN FPET RESULTS'!$A$1:$AB$1, 0)),  'PASTE IN FPET RESULTS'!$E:$E, $AC61, 'PASTE IN FPET RESULTS'!$F:$F, $AD61, 'PASTE IN FPET RESULTS'!$D:$D, 'Review FPET Inputs'!K$92)</f>
        <v>0</v>
      </c>
      <c r="L61" s="724">
        <f>SUMIFS(INDEX('PASTE IN FPET RESULTS'!$A:$AB,0, MATCH('Review FPET Inputs'!$AE61, 'PASTE IN FPET RESULTS'!$A$1:$AB$1, 0)),  'PASTE IN FPET RESULTS'!$E:$E, $AC61, 'PASTE IN FPET RESULTS'!$F:$F, $AD61, 'PASTE IN FPET RESULTS'!$D:$D, 'Review FPET Inputs'!L$92)</f>
        <v>0</v>
      </c>
      <c r="M61" s="724">
        <f>SUMIFS(INDEX('PASTE IN FPET RESULTS'!$A:$AB,0, MATCH('Review FPET Inputs'!$AE61, 'PASTE IN FPET RESULTS'!$A$1:$AB$1, 0)),  'PASTE IN FPET RESULTS'!$E:$E, $AC61, 'PASTE IN FPET RESULTS'!$F:$F, $AD61, 'PASTE IN FPET RESULTS'!$D:$D, 'Review FPET Inputs'!M$92)</f>
        <v>0</v>
      </c>
      <c r="N61" s="724">
        <f>SUMIFS(INDEX('PASTE IN FPET RESULTS'!$A:$AB,0, MATCH('Review FPET Inputs'!$AE61, 'PASTE IN FPET RESULTS'!$A$1:$AB$1, 0)),  'PASTE IN FPET RESULTS'!$E:$E, $AC61, 'PASTE IN FPET RESULTS'!$F:$F, $AD61, 'PASTE IN FPET RESULTS'!$D:$D, 'Review FPET Inputs'!N$92)</f>
        <v>0</v>
      </c>
      <c r="O61" s="724">
        <f>SUMIFS(INDEX('PASTE IN FPET RESULTS'!$A:$AB,0, MATCH('Review FPET Inputs'!$AE61, 'PASTE IN FPET RESULTS'!$A$1:$AB$1, 0)),  'PASTE IN FPET RESULTS'!$E:$E, $AC61, 'PASTE IN FPET RESULTS'!$F:$F, $AD61, 'PASTE IN FPET RESULTS'!$D:$D, 'Review FPET Inputs'!O$92)</f>
        <v>0</v>
      </c>
      <c r="P61" s="724">
        <f>SUMIFS(INDEX('PASTE IN FPET RESULTS'!$A:$AB,0, MATCH('Review FPET Inputs'!$AE61, 'PASTE IN FPET RESULTS'!$A$1:$AB$1, 0)),  'PASTE IN FPET RESULTS'!$E:$E, $AC61, 'PASTE IN FPET RESULTS'!$F:$F, $AD61, 'PASTE IN FPET RESULTS'!$D:$D, 'Review FPET Inputs'!P$92)</f>
        <v>0</v>
      </c>
      <c r="Q61" s="724">
        <f>SUMIFS(INDEX('PASTE IN FPET RESULTS'!$A:$AB,0, MATCH('Review FPET Inputs'!$AE61, 'PASTE IN FPET RESULTS'!$A$1:$AB$1, 0)),  'PASTE IN FPET RESULTS'!$E:$E, $AC61, 'PASTE IN FPET RESULTS'!$F:$F, $AD61, 'PASTE IN FPET RESULTS'!$D:$D, 'Review FPET Inputs'!Q$92)</f>
        <v>0</v>
      </c>
      <c r="R61" s="724">
        <f>SUMIFS(INDEX('PASTE IN FPET RESULTS'!$A:$AB,0, MATCH('Review FPET Inputs'!$AE61, 'PASTE IN FPET RESULTS'!$A$1:$AB$1, 0)),  'PASTE IN FPET RESULTS'!$E:$E, $AC61, 'PASTE IN FPET RESULTS'!$F:$F, $AD61, 'PASTE IN FPET RESULTS'!$D:$D, 'Review FPET Inputs'!R$92)</f>
        <v>0</v>
      </c>
      <c r="S61" s="724">
        <f>SUMIFS(INDEX('PASTE IN FPET RESULTS'!$A:$AB,0, MATCH('Review FPET Inputs'!$AE61, 'PASTE IN FPET RESULTS'!$A$1:$AB$1, 0)),  'PASTE IN FPET RESULTS'!$E:$E, $AC61, 'PASTE IN FPET RESULTS'!$F:$F, $AD61, 'PASTE IN FPET RESULTS'!$D:$D, 'Review FPET Inputs'!S$92)</f>
        <v>0</v>
      </c>
      <c r="T61" s="724">
        <f>SUMIFS(INDEX('PASTE IN FPET RESULTS'!$A:$AB,0, MATCH('Review FPET Inputs'!$AE61, 'PASTE IN FPET RESULTS'!$A$1:$AB$1, 0)),  'PASTE IN FPET RESULTS'!$E:$E, $AC61, 'PASTE IN FPET RESULTS'!$F:$F, $AD61, 'PASTE IN FPET RESULTS'!$D:$D, 'Review FPET Inputs'!T$92)</f>
        <v>0</v>
      </c>
      <c r="U61" s="724">
        <f>SUMIFS(INDEX('PASTE IN FPET RESULTS'!$A:$AB,0, MATCH('Review FPET Inputs'!$AE61, 'PASTE IN FPET RESULTS'!$A$1:$AB$1, 0)),  'PASTE IN FPET RESULTS'!$E:$E, $AC61, 'PASTE IN FPET RESULTS'!$F:$F, $AD61, 'PASTE IN FPET RESULTS'!$D:$D, 'Review FPET Inputs'!U$92)</f>
        <v>0</v>
      </c>
      <c r="V61" s="724">
        <f>SUMIFS(INDEX('PASTE IN FPET RESULTS'!$A:$AB,0, MATCH('Review FPET Inputs'!$AE61, 'PASTE IN FPET RESULTS'!$A$1:$AB$1, 0)),  'PASTE IN FPET RESULTS'!$E:$E, $AC61, 'PASTE IN FPET RESULTS'!$F:$F, $AD61, 'PASTE IN FPET RESULTS'!$D:$D, 'Review FPET Inputs'!V$92)</f>
        <v>0</v>
      </c>
      <c r="W61" s="724">
        <f>SUMIFS(INDEX('PASTE IN FPET RESULTS'!$A:$AB,0, MATCH('Review FPET Inputs'!$AE61, 'PASTE IN FPET RESULTS'!$A$1:$AB$1, 0)),  'PASTE IN FPET RESULTS'!$E:$E, $AC61, 'PASTE IN FPET RESULTS'!$F:$F, $AD61, 'PASTE IN FPET RESULTS'!$D:$D, 'Review FPET Inputs'!W$92)</f>
        <v>0</v>
      </c>
      <c r="X61" s="724">
        <f>SUMIFS(INDEX('PASTE IN FPET RESULTS'!$A:$AB,0, MATCH('Review FPET Inputs'!$AE61, 'PASTE IN FPET RESULTS'!$A$1:$AB$1, 0)),  'PASTE IN FPET RESULTS'!$E:$E, $AC61, 'PASTE IN FPET RESULTS'!$F:$F, $AD61, 'PASTE IN FPET RESULTS'!$D:$D, 'Review FPET Inputs'!X$92)</f>
        <v>0</v>
      </c>
      <c r="Y61" s="724">
        <f>SUMIFS(INDEX('PASTE IN FPET RESULTS'!$A:$AB,0, MATCH('Review FPET Inputs'!$AE61, 'PASTE IN FPET RESULTS'!$A$1:$AB$1, 0)),  'PASTE IN FPET RESULTS'!$E:$E, $AC61, 'PASTE IN FPET RESULTS'!$F:$F, $AD61, 'PASTE IN FPET RESULTS'!$D:$D, 'Review FPET Inputs'!Y$92)</f>
        <v>0</v>
      </c>
      <c r="Z61" s="724">
        <f>SUMIFS(INDEX('PASTE IN FPET RESULTS'!$A:$AB,0, MATCH('Review FPET Inputs'!$AE61, 'PASTE IN FPET RESULTS'!$A$1:$AB$1, 0)),  'PASTE IN FPET RESULTS'!$E:$E, $AC61, 'PASTE IN FPET RESULTS'!$F:$F, $AD61, 'PASTE IN FPET RESULTS'!$D:$D, 'Review FPET Inputs'!Z$92)</f>
        <v>0</v>
      </c>
      <c r="AA61" s="724">
        <f>SUMIFS(INDEX('PASTE IN FPET RESULTS'!$A:$AB,0, MATCH('Review FPET Inputs'!$AE61, 'PASTE IN FPET RESULTS'!$A$1:$AB$1, 0)),  'PASTE IN FPET RESULTS'!$E:$E, $AC61, 'PASTE IN FPET RESULTS'!$F:$F, $AD61, 'PASTE IN FPET RESULTS'!$D:$D, 'Review FPET Inputs'!AA$92)</f>
        <v>0</v>
      </c>
      <c r="AC61" s="817" t="s">
        <v>1267</v>
      </c>
      <c r="AD61" s="817">
        <v>2.5000000000000001E-2</v>
      </c>
      <c r="AE61" s="817" t="s">
        <v>1077</v>
      </c>
      <c r="AF61" s="8"/>
      <c r="AG61" s="24" t="s">
        <v>987</v>
      </c>
      <c r="AH61" s="651" t="s">
        <v>988</v>
      </c>
    </row>
    <row r="62" spans="2:36" s="9" customFormat="1" ht="30" customHeight="1" x14ac:dyDescent="0.3">
      <c r="C62" s="832"/>
      <c r="D62" s="631" t="str">
        <f>IF(Language="English", AG62, AH62)</f>
        <v>mCPR among unmarried women</v>
      </c>
      <c r="E62" s="315" t="s">
        <v>1018</v>
      </c>
      <c r="F62" s="315">
        <v>2.5</v>
      </c>
      <c r="G62" s="631" t="s">
        <v>1014</v>
      </c>
      <c r="H62" s="631" t="str">
        <f>G62&amp;E62&amp;F62</f>
        <v>mCPUMW2.5</v>
      </c>
      <c r="I62" s="724">
        <f>SUMIFS(INDEX('PASTE IN FPET RESULTS'!$A:$AB,0, MATCH('Review FPET Inputs'!$AE62, 'PASTE IN FPET RESULTS'!$A$1:$AB$1, 0)),  'PASTE IN FPET RESULTS'!$E:$E, $AC62, 'PASTE IN FPET RESULTS'!$F:$F, $AD62, 'PASTE IN FPET RESULTS'!$D:$D, I$37)</f>
        <v>0</v>
      </c>
      <c r="J62" s="724">
        <f>SUMIFS(INDEX('PASTE IN FPET RESULTS'!$A:$AB,0, MATCH('Review FPET Inputs'!$AE62, 'PASTE IN FPET RESULTS'!$A$1:$AB$1, 0)),  'PASTE IN FPET RESULTS'!$E:$E, $AC62, 'PASTE IN FPET RESULTS'!$F:$F, $AD62, 'PASTE IN FPET RESULTS'!$D:$D, 'Review FPET Inputs'!J$92)</f>
        <v>0</v>
      </c>
      <c r="K62" s="724">
        <f>SUMIFS(INDEX('PASTE IN FPET RESULTS'!$A:$AB,0, MATCH('Review FPET Inputs'!$AE62, 'PASTE IN FPET RESULTS'!$A$1:$AB$1, 0)),  'PASTE IN FPET RESULTS'!$E:$E, $AC62, 'PASTE IN FPET RESULTS'!$F:$F, $AD62, 'PASTE IN FPET RESULTS'!$D:$D, 'Review FPET Inputs'!K$92)</f>
        <v>0</v>
      </c>
      <c r="L62" s="724">
        <f>SUMIFS(INDEX('PASTE IN FPET RESULTS'!$A:$AB,0, MATCH('Review FPET Inputs'!$AE62, 'PASTE IN FPET RESULTS'!$A$1:$AB$1, 0)),  'PASTE IN FPET RESULTS'!$E:$E, $AC62, 'PASTE IN FPET RESULTS'!$F:$F, $AD62, 'PASTE IN FPET RESULTS'!$D:$D, 'Review FPET Inputs'!L$92)</f>
        <v>0</v>
      </c>
      <c r="M62" s="724">
        <f>SUMIFS(INDEX('PASTE IN FPET RESULTS'!$A:$AB,0, MATCH('Review FPET Inputs'!$AE62, 'PASTE IN FPET RESULTS'!$A$1:$AB$1, 0)),  'PASTE IN FPET RESULTS'!$E:$E, $AC62, 'PASTE IN FPET RESULTS'!$F:$F, $AD62, 'PASTE IN FPET RESULTS'!$D:$D, 'Review FPET Inputs'!M$92)</f>
        <v>0</v>
      </c>
      <c r="N62" s="724">
        <f>SUMIFS(INDEX('PASTE IN FPET RESULTS'!$A:$AB,0, MATCH('Review FPET Inputs'!$AE62, 'PASTE IN FPET RESULTS'!$A$1:$AB$1, 0)),  'PASTE IN FPET RESULTS'!$E:$E, $AC62, 'PASTE IN FPET RESULTS'!$F:$F, $AD62, 'PASTE IN FPET RESULTS'!$D:$D, 'Review FPET Inputs'!N$92)</f>
        <v>0</v>
      </c>
      <c r="O62" s="724">
        <f>SUMIFS(INDEX('PASTE IN FPET RESULTS'!$A:$AB,0, MATCH('Review FPET Inputs'!$AE62, 'PASTE IN FPET RESULTS'!$A$1:$AB$1, 0)),  'PASTE IN FPET RESULTS'!$E:$E, $AC62, 'PASTE IN FPET RESULTS'!$F:$F, $AD62, 'PASTE IN FPET RESULTS'!$D:$D, 'Review FPET Inputs'!O$92)</f>
        <v>0</v>
      </c>
      <c r="P62" s="724">
        <f>SUMIFS(INDEX('PASTE IN FPET RESULTS'!$A:$AB,0, MATCH('Review FPET Inputs'!$AE62, 'PASTE IN FPET RESULTS'!$A$1:$AB$1, 0)),  'PASTE IN FPET RESULTS'!$E:$E, $AC62, 'PASTE IN FPET RESULTS'!$F:$F, $AD62, 'PASTE IN FPET RESULTS'!$D:$D, 'Review FPET Inputs'!P$92)</f>
        <v>0</v>
      </c>
      <c r="Q62" s="724">
        <f>SUMIFS(INDEX('PASTE IN FPET RESULTS'!$A:$AB,0, MATCH('Review FPET Inputs'!$AE62, 'PASTE IN FPET RESULTS'!$A$1:$AB$1, 0)),  'PASTE IN FPET RESULTS'!$E:$E, $AC62, 'PASTE IN FPET RESULTS'!$F:$F, $AD62, 'PASTE IN FPET RESULTS'!$D:$D, 'Review FPET Inputs'!Q$92)</f>
        <v>0</v>
      </c>
      <c r="R62" s="724">
        <f>SUMIFS(INDEX('PASTE IN FPET RESULTS'!$A:$AB,0, MATCH('Review FPET Inputs'!$AE62, 'PASTE IN FPET RESULTS'!$A$1:$AB$1, 0)),  'PASTE IN FPET RESULTS'!$E:$E, $AC62, 'PASTE IN FPET RESULTS'!$F:$F, $AD62, 'PASTE IN FPET RESULTS'!$D:$D, 'Review FPET Inputs'!R$92)</f>
        <v>0</v>
      </c>
      <c r="S62" s="724">
        <f>SUMIFS(INDEX('PASTE IN FPET RESULTS'!$A:$AB,0, MATCH('Review FPET Inputs'!$AE62, 'PASTE IN FPET RESULTS'!$A$1:$AB$1, 0)),  'PASTE IN FPET RESULTS'!$E:$E, $AC62, 'PASTE IN FPET RESULTS'!$F:$F, $AD62, 'PASTE IN FPET RESULTS'!$D:$D, 'Review FPET Inputs'!S$92)</f>
        <v>0</v>
      </c>
      <c r="T62" s="724">
        <f>SUMIFS(INDEX('PASTE IN FPET RESULTS'!$A:$AB,0, MATCH('Review FPET Inputs'!$AE62, 'PASTE IN FPET RESULTS'!$A$1:$AB$1, 0)),  'PASTE IN FPET RESULTS'!$E:$E, $AC62, 'PASTE IN FPET RESULTS'!$F:$F, $AD62, 'PASTE IN FPET RESULTS'!$D:$D, 'Review FPET Inputs'!T$92)</f>
        <v>0</v>
      </c>
      <c r="U62" s="724">
        <f>SUMIFS(INDEX('PASTE IN FPET RESULTS'!$A:$AB,0, MATCH('Review FPET Inputs'!$AE62, 'PASTE IN FPET RESULTS'!$A$1:$AB$1, 0)),  'PASTE IN FPET RESULTS'!$E:$E, $AC62, 'PASTE IN FPET RESULTS'!$F:$F, $AD62, 'PASTE IN FPET RESULTS'!$D:$D, 'Review FPET Inputs'!U$92)</f>
        <v>0</v>
      </c>
      <c r="V62" s="724">
        <f>SUMIFS(INDEX('PASTE IN FPET RESULTS'!$A:$AB,0, MATCH('Review FPET Inputs'!$AE62, 'PASTE IN FPET RESULTS'!$A$1:$AB$1, 0)),  'PASTE IN FPET RESULTS'!$E:$E, $AC62, 'PASTE IN FPET RESULTS'!$F:$F, $AD62, 'PASTE IN FPET RESULTS'!$D:$D, 'Review FPET Inputs'!V$92)</f>
        <v>0</v>
      </c>
      <c r="W62" s="724">
        <f>SUMIFS(INDEX('PASTE IN FPET RESULTS'!$A:$AB,0, MATCH('Review FPET Inputs'!$AE62, 'PASTE IN FPET RESULTS'!$A$1:$AB$1, 0)),  'PASTE IN FPET RESULTS'!$E:$E, $AC62, 'PASTE IN FPET RESULTS'!$F:$F, $AD62, 'PASTE IN FPET RESULTS'!$D:$D, 'Review FPET Inputs'!W$92)</f>
        <v>0</v>
      </c>
      <c r="X62" s="724">
        <f>SUMIFS(INDEX('PASTE IN FPET RESULTS'!$A:$AB,0, MATCH('Review FPET Inputs'!$AE62, 'PASTE IN FPET RESULTS'!$A$1:$AB$1, 0)),  'PASTE IN FPET RESULTS'!$E:$E, $AC62, 'PASTE IN FPET RESULTS'!$F:$F, $AD62, 'PASTE IN FPET RESULTS'!$D:$D, 'Review FPET Inputs'!X$92)</f>
        <v>0</v>
      </c>
      <c r="Y62" s="724">
        <f>SUMIFS(INDEX('PASTE IN FPET RESULTS'!$A:$AB,0, MATCH('Review FPET Inputs'!$AE62, 'PASTE IN FPET RESULTS'!$A$1:$AB$1, 0)),  'PASTE IN FPET RESULTS'!$E:$E, $AC62, 'PASTE IN FPET RESULTS'!$F:$F, $AD62, 'PASTE IN FPET RESULTS'!$D:$D, 'Review FPET Inputs'!Y$92)</f>
        <v>0</v>
      </c>
      <c r="Z62" s="724">
        <f>SUMIFS(INDEX('PASTE IN FPET RESULTS'!$A:$AB,0, MATCH('Review FPET Inputs'!$AE62, 'PASTE IN FPET RESULTS'!$A$1:$AB$1, 0)),  'PASTE IN FPET RESULTS'!$E:$E, $AC62, 'PASTE IN FPET RESULTS'!$F:$F, $AD62, 'PASTE IN FPET RESULTS'!$D:$D, 'Review FPET Inputs'!Z$92)</f>
        <v>0</v>
      </c>
      <c r="AA62" s="724">
        <f>SUMIFS(INDEX('PASTE IN FPET RESULTS'!$A:$AB,0, MATCH('Review FPET Inputs'!$AE62, 'PASTE IN FPET RESULTS'!$A$1:$AB$1, 0)),  'PASTE IN FPET RESULTS'!$E:$E, $AC62, 'PASTE IN FPET RESULTS'!$F:$F, $AD62, 'PASTE IN FPET RESULTS'!$D:$D, 'Review FPET Inputs'!AA$92)</f>
        <v>0</v>
      </c>
      <c r="AC62" s="817" t="s">
        <v>1267</v>
      </c>
      <c r="AD62" s="817">
        <v>2.5000000000000001E-2</v>
      </c>
      <c r="AE62" s="817" t="s">
        <v>1079</v>
      </c>
      <c r="AF62" s="8"/>
      <c r="AG62" s="650" t="s">
        <v>989</v>
      </c>
      <c r="AH62" s="651" t="s">
        <v>990</v>
      </c>
      <c r="AI62" s="619"/>
      <c r="AJ62" s="619"/>
    </row>
    <row r="63" spans="2:36" s="44" customFormat="1" ht="30" customHeight="1" x14ac:dyDescent="0.3">
      <c r="B63" s="9"/>
      <c r="C63" s="832"/>
      <c r="D63" s="631" t="str">
        <f>IF(Language="English", AG63, AH63)</f>
        <v>Demand Satisfied with modern methods (unmarried)</v>
      </c>
      <c r="E63" s="315" t="s">
        <v>1018</v>
      </c>
      <c r="F63" s="315">
        <v>2.5</v>
      </c>
      <c r="G63" s="631" t="s">
        <v>1016</v>
      </c>
      <c r="H63" s="631" t="str">
        <f>G63&amp;E63&amp;F63</f>
        <v>mDSUMW2.5</v>
      </c>
      <c r="I63" s="724">
        <f>SUMIFS(INDEX('PASTE IN FPET RESULTS'!$A:$AB,0, MATCH('Review FPET Inputs'!$AE63, 'PASTE IN FPET RESULTS'!$A$1:$AB$1, 0)),  'PASTE IN FPET RESULTS'!$E:$E, $AC63, 'PASTE IN FPET RESULTS'!$F:$F, $AD63, 'PASTE IN FPET RESULTS'!$D:$D, I$37)</f>
        <v>0</v>
      </c>
      <c r="J63" s="724">
        <f>SUMIFS(INDEX('PASTE IN FPET RESULTS'!$A:$AB,0, MATCH('Review FPET Inputs'!$AE63, 'PASTE IN FPET RESULTS'!$A$1:$AB$1, 0)),  'PASTE IN FPET RESULTS'!$E:$E, $AC63, 'PASTE IN FPET RESULTS'!$F:$F, $AD63, 'PASTE IN FPET RESULTS'!$D:$D, 'Review FPET Inputs'!J$92)</f>
        <v>0</v>
      </c>
      <c r="K63" s="724">
        <f>SUMIFS(INDEX('PASTE IN FPET RESULTS'!$A:$AB,0, MATCH('Review FPET Inputs'!$AE63, 'PASTE IN FPET RESULTS'!$A$1:$AB$1, 0)),  'PASTE IN FPET RESULTS'!$E:$E, $AC63, 'PASTE IN FPET RESULTS'!$F:$F, $AD63, 'PASTE IN FPET RESULTS'!$D:$D, 'Review FPET Inputs'!K$92)</f>
        <v>0</v>
      </c>
      <c r="L63" s="724">
        <f>SUMIFS(INDEX('PASTE IN FPET RESULTS'!$A:$AB,0, MATCH('Review FPET Inputs'!$AE63, 'PASTE IN FPET RESULTS'!$A$1:$AB$1, 0)),  'PASTE IN FPET RESULTS'!$E:$E, $AC63, 'PASTE IN FPET RESULTS'!$F:$F, $AD63, 'PASTE IN FPET RESULTS'!$D:$D, 'Review FPET Inputs'!L$92)</f>
        <v>0</v>
      </c>
      <c r="M63" s="724">
        <f>SUMIFS(INDEX('PASTE IN FPET RESULTS'!$A:$AB,0, MATCH('Review FPET Inputs'!$AE63, 'PASTE IN FPET RESULTS'!$A$1:$AB$1, 0)),  'PASTE IN FPET RESULTS'!$E:$E, $AC63, 'PASTE IN FPET RESULTS'!$F:$F, $AD63, 'PASTE IN FPET RESULTS'!$D:$D, 'Review FPET Inputs'!M$92)</f>
        <v>0</v>
      </c>
      <c r="N63" s="724">
        <f>SUMIFS(INDEX('PASTE IN FPET RESULTS'!$A:$AB,0, MATCH('Review FPET Inputs'!$AE63, 'PASTE IN FPET RESULTS'!$A$1:$AB$1, 0)),  'PASTE IN FPET RESULTS'!$E:$E, $AC63, 'PASTE IN FPET RESULTS'!$F:$F, $AD63, 'PASTE IN FPET RESULTS'!$D:$D, 'Review FPET Inputs'!N$92)</f>
        <v>0</v>
      </c>
      <c r="O63" s="724">
        <f>SUMIFS(INDEX('PASTE IN FPET RESULTS'!$A:$AB,0, MATCH('Review FPET Inputs'!$AE63, 'PASTE IN FPET RESULTS'!$A$1:$AB$1, 0)),  'PASTE IN FPET RESULTS'!$E:$E, $AC63, 'PASTE IN FPET RESULTS'!$F:$F, $AD63, 'PASTE IN FPET RESULTS'!$D:$D, 'Review FPET Inputs'!O$92)</f>
        <v>0</v>
      </c>
      <c r="P63" s="724">
        <f>SUMIFS(INDEX('PASTE IN FPET RESULTS'!$A:$AB,0, MATCH('Review FPET Inputs'!$AE63, 'PASTE IN FPET RESULTS'!$A$1:$AB$1, 0)),  'PASTE IN FPET RESULTS'!$E:$E, $AC63, 'PASTE IN FPET RESULTS'!$F:$F, $AD63, 'PASTE IN FPET RESULTS'!$D:$D, 'Review FPET Inputs'!P$92)</f>
        <v>0</v>
      </c>
      <c r="Q63" s="724">
        <f>SUMIFS(INDEX('PASTE IN FPET RESULTS'!$A:$AB,0, MATCH('Review FPET Inputs'!$AE63, 'PASTE IN FPET RESULTS'!$A$1:$AB$1, 0)),  'PASTE IN FPET RESULTS'!$E:$E, $AC63, 'PASTE IN FPET RESULTS'!$F:$F, $AD63, 'PASTE IN FPET RESULTS'!$D:$D, 'Review FPET Inputs'!Q$92)</f>
        <v>0</v>
      </c>
      <c r="R63" s="724">
        <f>SUMIFS(INDEX('PASTE IN FPET RESULTS'!$A:$AB,0, MATCH('Review FPET Inputs'!$AE63, 'PASTE IN FPET RESULTS'!$A$1:$AB$1, 0)),  'PASTE IN FPET RESULTS'!$E:$E, $AC63, 'PASTE IN FPET RESULTS'!$F:$F, $AD63, 'PASTE IN FPET RESULTS'!$D:$D, 'Review FPET Inputs'!R$92)</f>
        <v>0</v>
      </c>
      <c r="S63" s="724">
        <f>SUMIFS(INDEX('PASTE IN FPET RESULTS'!$A:$AB,0, MATCH('Review FPET Inputs'!$AE63, 'PASTE IN FPET RESULTS'!$A$1:$AB$1, 0)),  'PASTE IN FPET RESULTS'!$E:$E, $AC63, 'PASTE IN FPET RESULTS'!$F:$F, $AD63, 'PASTE IN FPET RESULTS'!$D:$D, 'Review FPET Inputs'!S$92)</f>
        <v>0</v>
      </c>
      <c r="T63" s="724">
        <f>SUMIFS(INDEX('PASTE IN FPET RESULTS'!$A:$AB,0, MATCH('Review FPET Inputs'!$AE63, 'PASTE IN FPET RESULTS'!$A$1:$AB$1, 0)),  'PASTE IN FPET RESULTS'!$E:$E, $AC63, 'PASTE IN FPET RESULTS'!$F:$F, $AD63, 'PASTE IN FPET RESULTS'!$D:$D, 'Review FPET Inputs'!T$92)</f>
        <v>0</v>
      </c>
      <c r="U63" s="724">
        <f>SUMIFS(INDEX('PASTE IN FPET RESULTS'!$A:$AB,0, MATCH('Review FPET Inputs'!$AE63, 'PASTE IN FPET RESULTS'!$A$1:$AB$1, 0)),  'PASTE IN FPET RESULTS'!$E:$E, $AC63, 'PASTE IN FPET RESULTS'!$F:$F, $AD63, 'PASTE IN FPET RESULTS'!$D:$D, 'Review FPET Inputs'!U$92)</f>
        <v>0</v>
      </c>
      <c r="V63" s="724">
        <f>SUMIFS(INDEX('PASTE IN FPET RESULTS'!$A:$AB,0, MATCH('Review FPET Inputs'!$AE63, 'PASTE IN FPET RESULTS'!$A$1:$AB$1, 0)),  'PASTE IN FPET RESULTS'!$E:$E, $AC63, 'PASTE IN FPET RESULTS'!$F:$F, $AD63, 'PASTE IN FPET RESULTS'!$D:$D, 'Review FPET Inputs'!V$92)</f>
        <v>0</v>
      </c>
      <c r="W63" s="724">
        <f>SUMIFS(INDEX('PASTE IN FPET RESULTS'!$A:$AB,0, MATCH('Review FPET Inputs'!$AE63, 'PASTE IN FPET RESULTS'!$A$1:$AB$1, 0)),  'PASTE IN FPET RESULTS'!$E:$E, $AC63, 'PASTE IN FPET RESULTS'!$F:$F, $AD63, 'PASTE IN FPET RESULTS'!$D:$D, 'Review FPET Inputs'!W$92)</f>
        <v>0</v>
      </c>
      <c r="X63" s="724">
        <f>SUMIFS(INDEX('PASTE IN FPET RESULTS'!$A:$AB,0, MATCH('Review FPET Inputs'!$AE63, 'PASTE IN FPET RESULTS'!$A$1:$AB$1, 0)),  'PASTE IN FPET RESULTS'!$E:$E, $AC63, 'PASTE IN FPET RESULTS'!$F:$F, $AD63, 'PASTE IN FPET RESULTS'!$D:$D, 'Review FPET Inputs'!X$92)</f>
        <v>0</v>
      </c>
      <c r="Y63" s="724">
        <f>SUMIFS(INDEX('PASTE IN FPET RESULTS'!$A:$AB,0, MATCH('Review FPET Inputs'!$AE63, 'PASTE IN FPET RESULTS'!$A$1:$AB$1, 0)),  'PASTE IN FPET RESULTS'!$E:$E, $AC63, 'PASTE IN FPET RESULTS'!$F:$F, $AD63, 'PASTE IN FPET RESULTS'!$D:$D, 'Review FPET Inputs'!Y$92)</f>
        <v>0</v>
      </c>
      <c r="Z63" s="724">
        <f>SUMIFS(INDEX('PASTE IN FPET RESULTS'!$A:$AB,0, MATCH('Review FPET Inputs'!$AE63, 'PASTE IN FPET RESULTS'!$A$1:$AB$1, 0)),  'PASTE IN FPET RESULTS'!$E:$E, $AC63, 'PASTE IN FPET RESULTS'!$F:$F, $AD63, 'PASTE IN FPET RESULTS'!$D:$D, 'Review FPET Inputs'!Z$92)</f>
        <v>0</v>
      </c>
      <c r="AA63" s="724">
        <f>SUMIFS(INDEX('PASTE IN FPET RESULTS'!$A:$AB,0, MATCH('Review FPET Inputs'!$AE63, 'PASTE IN FPET RESULTS'!$A$1:$AB$1, 0)),  'PASTE IN FPET RESULTS'!$E:$E, $AC63, 'PASTE IN FPET RESULTS'!$F:$F, $AD63, 'PASTE IN FPET RESULTS'!$D:$D, 'Review FPET Inputs'!AA$92)</f>
        <v>0</v>
      </c>
      <c r="AC63" s="817" t="s">
        <v>1267</v>
      </c>
      <c r="AD63" s="817">
        <v>2.5000000000000001E-2</v>
      </c>
      <c r="AE63" s="817" t="s">
        <v>1089</v>
      </c>
      <c r="AF63" s="681"/>
      <c r="AG63" s="233" t="s">
        <v>993</v>
      </c>
      <c r="AH63" s="652" t="s">
        <v>994</v>
      </c>
      <c r="AI63" s="619"/>
      <c r="AJ63" s="619"/>
    </row>
    <row r="64" spans="2:36" s="44" customFormat="1" ht="30" customHeight="1" x14ac:dyDescent="0.3">
      <c r="B64" s="9"/>
      <c r="C64" s="832"/>
      <c r="D64" s="631" t="str">
        <f>IF(Language="English", AG64, AH64)</f>
        <v>Unmet need for modern methods (unmarried)</v>
      </c>
      <c r="E64" s="315" t="s">
        <v>1018</v>
      </c>
      <c r="F64" s="315">
        <v>2.5</v>
      </c>
      <c r="G64" s="631" t="s">
        <v>1017</v>
      </c>
      <c r="H64" s="631" t="str">
        <f>G64&amp;E64&amp;F64</f>
        <v>mUNUMW2.5</v>
      </c>
      <c r="I64" s="724">
        <f>SUMIFS(INDEX('PASTE IN FPET RESULTS'!$A:$AB,0, MATCH('Review FPET Inputs'!$AE64, 'PASTE IN FPET RESULTS'!$A$1:$AB$1, 0)),  'PASTE IN FPET RESULTS'!$E:$E, $AC64, 'PASTE IN FPET RESULTS'!$F:$F, $AD64, 'PASTE IN FPET RESULTS'!$D:$D, I$37)</f>
        <v>0</v>
      </c>
      <c r="J64" s="724">
        <f>SUMIFS(INDEX('PASTE IN FPET RESULTS'!$A:$AB,0, MATCH('Review FPET Inputs'!$AE64, 'PASTE IN FPET RESULTS'!$A$1:$AB$1, 0)),  'PASTE IN FPET RESULTS'!$E:$E, $AC64, 'PASTE IN FPET RESULTS'!$F:$F, $AD64, 'PASTE IN FPET RESULTS'!$D:$D, 'Review FPET Inputs'!J$92)</f>
        <v>0</v>
      </c>
      <c r="K64" s="724">
        <f>SUMIFS(INDEX('PASTE IN FPET RESULTS'!$A:$AB,0, MATCH('Review FPET Inputs'!$AE64, 'PASTE IN FPET RESULTS'!$A$1:$AB$1, 0)),  'PASTE IN FPET RESULTS'!$E:$E, $AC64, 'PASTE IN FPET RESULTS'!$F:$F, $AD64, 'PASTE IN FPET RESULTS'!$D:$D, 'Review FPET Inputs'!K$92)</f>
        <v>0</v>
      </c>
      <c r="L64" s="724">
        <f>SUMIFS(INDEX('PASTE IN FPET RESULTS'!$A:$AB,0, MATCH('Review FPET Inputs'!$AE64, 'PASTE IN FPET RESULTS'!$A$1:$AB$1, 0)),  'PASTE IN FPET RESULTS'!$E:$E, $AC64, 'PASTE IN FPET RESULTS'!$F:$F, $AD64, 'PASTE IN FPET RESULTS'!$D:$D, 'Review FPET Inputs'!L$92)</f>
        <v>0</v>
      </c>
      <c r="M64" s="724">
        <f>SUMIFS(INDEX('PASTE IN FPET RESULTS'!$A:$AB,0, MATCH('Review FPET Inputs'!$AE64, 'PASTE IN FPET RESULTS'!$A$1:$AB$1, 0)),  'PASTE IN FPET RESULTS'!$E:$E, $AC64, 'PASTE IN FPET RESULTS'!$F:$F, $AD64, 'PASTE IN FPET RESULTS'!$D:$D, 'Review FPET Inputs'!M$92)</f>
        <v>0</v>
      </c>
      <c r="N64" s="724">
        <f>SUMIFS(INDEX('PASTE IN FPET RESULTS'!$A:$AB,0, MATCH('Review FPET Inputs'!$AE64, 'PASTE IN FPET RESULTS'!$A$1:$AB$1, 0)),  'PASTE IN FPET RESULTS'!$E:$E, $AC64, 'PASTE IN FPET RESULTS'!$F:$F, $AD64, 'PASTE IN FPET RESULTS'!$D:$D, 'Review FPET Inputs'!N$92)</f>
        <v>0</v>
      </c>
      <c r="O64" s="724">
        <f>SUMIFS(INDEX('PASTE IN FPET RESULTS'!$A:$AB,0, MATCH('Review FPET Inputs'!$AE64, 'PASTE IN FPET RESULTS'!$A$1:$AB$1, 0)),  'PASTE IN FPET RESULTS'!$E:$E, $AC64, 'PASTE IN FPET RESULTS'!$F:$F, $AD64, 'PASTE IN FPET RESULTS'!$D:$D, 'Review FPET Inputs'!O$92)</f>
        <v>0</v>
      </c>
      <c r="P64" s="724">
        <f>SUMIFS(INDEX('PASTE IN FPET RESULTS'!$A:$AB,0, MATCH('Review FPET Inputs'!$AE64, 'PASTE IN FPET RESULTS'!$A$1:$AB$1, 0)),  'PASTE IN FPET RESULTS'!$E:$E, $AC64, 'PASTE IN FPET RESULTS'!$F:$F, $AD64, 'PASTE IN FPET RESULTS'!$D:$D, 'Review FPET Inputs'!P$92)</f>
        <v>0</v>
      </c>
      <c r="Q64" s="724">
        <f>SUMIFS(INDEX('PASTE IN FPET RESULTS'!$A:$AB,0, MATCH('Review FPET Inputs'!$AE64, 'PASTE IN FPET RESULTS'!$A$1:$AB$1, 0)),  'PASTE IN FPET RESULTS'!$E:$E, $AC64, 'PASTE IN FPET RESULTS'!$F:$F, $AD64, 'PASTE IN FPET RESULTS'!$D:$D, 'Review FPET Inputs'!Q$92)</f>
        <v>0</v>
      </c>
      <c r="R64" s="724">
        <f>SUMIFS(INDEX('PASTE IN FPET RESULTS'!$A:$AB,0, MATCH('Review FPET Inputs'!$AE64, 'PASTE IN FPET RESULTS'!$A$1:$AB$1, 0)),  'PASTE IN FPET RESULTS'!$E:$E, $AC64, 'PASTE IN FPET RESULTS'!$F:$F, $AD64, 'PASTE IN FPET RESULTS'!$D:$D, 'Review FPET Inputs'!R$92)</f>
        <v>0</v>
      </c>
      <c r="S64" s="724">
        <f>SUMIFS(INDEX('PASTE IN FPET RESULTS'!$A:$AB,0, MATCH('Review FPET Inputs'!$AE64, 'PASTE IN FPET RESULTS'!$A$1:$AB$1, 0)),  'PASTE IN FPET RESULTS'!$E:$E, $AC64, 'PASTE IN FPET RESULTS'!$F:$F, $AD64, 'PASTE IN FPET RESULTS'!$D:$D, 'Review FPET Inputs'!S$92)</f>
        <v>0</v>
      </c>
      <c r="T64" s="724">
        <f>SUMIFS(INDEX('PASTE IN FPET RESULTS'!$A:$AB,0, MATCH('Review FPET Inputs'!$AE64, 'PASTE IN FPET RESULTS'!$A$1:$AB$1, 0)),  'PASTE IN FPET RESULTS'!$E:$E, $AC64, 'PASTE IN FPET RESULTS'!$F:$F, $AD64, 'PASTE IN FPET RESULTS'!$D:$D, 'Review FPET Inputs'!T$92)</f>
        <v>0</v>
      </c>
      <c r="U64" s="724">
        <f>SUMIFS(INDEX('PASTE IN FPET RESULTS'!$A:$AB,0, MATCH('Review FPET Inputs'!$AE64, 'PASTE IN FPET RESULTS'!$A$1:$AB$1, 0)),  'PASTE IN FPET RESULTS'!$E:$E, $AC64, 'PASTE IN FPET RESULTS'!$F:$F, $AD64, 'PASTE IN FPET RESULTS'!$D:$D, 'Review FPET Inputs'!U$92)</f>
        <v>0</v>
      </c>
      <c r="V64" s="724">
        <f>SUMIFS(INDEX('PASTE IN FPET RESULTS'!$A:$AB,0, MATCH('Review FPET Inputs'!$AE64, 'PASTE IN FPET RESULTS'!$A$1:$AB$1, 0)),  'PASTE IN FPET RESULTS'!$E:$E, $AC64, 'PASTE IN FPET RESULTS'!$F:$F, $AD64, 'PASTE IN FPET RESULTS'!$D:$D, 'Review FPET Inputs'!V$92)</f>
        <v>0</v>
      </c>
      <c r="W64" s="724">
        <f>SUMIFS(INDEX('PASTE IN FPET RESULTS'!$A:$AB,0, MATCH('Review FPET Inputs'!$AE64, 'PASTE IN FPET RESULTS'!$A$1:$AB$1, 0)),  'PASTE IN FPET RESULTS'!$E:$E, $AC64, 'PASTE IN FPET RESULTS'!$F:$F, $AD64, 'PASTE IN FPET RESULTS'!$D:$D, 'Review FPET Inputs'!W$92)</f>
        <v>0</v>
      </c>
      <c r="X64" s="724">
        <f>SUMIFS(INDEX('PASTE IN FPET RESULTS'!$A:$AB,0, MATCH('Review FPET Inputs'!$AE64, 'PASTE IN FPET RESULTS'!$A$1:$AB$1, 0)),  'PASTE IN FPET RESULTS'!$E:$E, $AC64, 'PASTE IN FPET RESULTS'!$F:$F, $AD64, 'PASTE IN FPET RESULTS'!$D:$D, 'Review FPET Inputs'!X$92)</f>
        <v>0</v>
      </c>
      <c r="Y64" s="724">
        <f>SUMIFS(INDEX('PASTE IN FPET RESULTS'!$A:$AB,0, MATCH('Review FPET Inputs'!$AE64, 'PASTE IN FPET RESULTS'!$A$1:$AB$1, 0)),  'PASTE IN FPET RESULTS'!$E:$E, $AC64, 'PASTE IN FPET RESULTS'!$F:$F, $AD64, 'PASTE IN FPET RESULTS'!$D:$D, 'Review FPET Inputs'!Y$92)</f>
        <v>0</v>
      </c>
      <c r="Z64" s="724">
        <f>SUMIFS(INDEX('PASTE IN FPET RESULTS'!$A:$AB,0, MATCH('Review FPET Inputs'!$AE64, 'PASTE IN FPET RESULTS'!$A$1:$AB$1, 0)),  'PASTE IN FPET RESULTS'!$E:$E, $AC64, 'PASTE IN FPET RESULTS'!$F:$F, $AD64, 'PASTE IN FPET RESULTS'!$D:$D, 'Review FPET Inputs'!Z$92)</f>
        <v>0</v>
      </c>
      <c r="AA64" s="724">
        <f>SUMIFS(INDEX('PASTE IN FPET RESULTS'!$A:$AB,0, MATCH('Review FPET Inputs'!$AE64, 'PASTE IN FPET RESULTS'!$A$1:$AB$1, 0)),  'PASTE IN FPET RESULTS'!$E:$E, $AC64, 'PASTE IN FPET RESULTS'!$F:$F, $AD64, 'PASTE IN FPET RESULTS'!$D:$D, 'Review FPET Inputs'!AA$92)</f>
        <v>0</v>
      </c>
      <c r="AC64" s="817" t="s">
        <v>1267</v>
      </c>
      <c r="AD64" s="817">
        <v>2.5000000000000001E-2</v>
      </c>
      <c r="AE64" s="817" t="s">
        <v>1097</v>
      </c>
      <c r="AF64" s="681"/>
      <c r="AG64" s="233" t="s">
        <v>992</v>
      </c>
      <c r="AH64" s="652" t="s">
        <v>991</v>
      </c>
      <c r="AI64" s="619"/>
      <c r="AJ64" s="619"/>
    </row>
    <row r="65" spans="2:36" s="9" customFormat="1" ht="9.6" customHeight="1" x14ac:dyDescent="0.3">
      <c r="AC65" s="716"/>
      <c r="AD65" s="716"/>
      <c r="AE65" s="716"/>
      <c r="AF65" s="8"/>
      <c r="AG65" s="647" t="s">
        <v>1013</v>
      </c>
      <c r="AH65" s="647" t="s">
        <v>968</v>
      </c>
    </row>
    <row r="66" spans="2:36" s="9" customFormat="1" ht="30" customHeight="1" x14ac:dyDescent="0.3">
      <c r="C66" s="832" t="str">
        <f>IF(Language="English", AG65, AH65)</f>
        <v>Upper Bound (97.5 Percentile)</v>
      </c>
      <c r="D66" s="631" t="str">
        <f>IF(Language="English", AG66, AH66)</f>
        <v>CPR among unmarried women</v>
      </c>
      <c r="E66" s="315" t="s">
        <v>1018</v>
      </c>
      <c r="F66" s="315">
        <v>97.5</v>
      </c>
      <c r="G66" s="631" t="s">
        <v>1015</v>
      </c>
      <c r="H66" s="631" t="str">
        <f>G66&amp;E66&amp;F66</f>
        <v>CPUMW97.5</v>
      </c>
      <c r="I66" s="724">
        <f>SUMIFS(INDEX('PASTE IN FPET RESULTS'!$A:$AB,0, MATCH('Review FPET Inputs'!$AE66, 'PASTE IN FPET RESULTS'!$A$1:$AB$1, 0)),  'PASTE IN FPET RESULTS'!$E:$E, $AC66, 'PASTE IN FPET RESULTS'!$F:$F, $AD66, 'PASTE IN FPET RESULTS'!$D:$D, I$37)</f>
        <v>0</v>
      </c>
      <c r="J66" s="724">
        <f>SUMIFS(INDEX('PASTE IN FPET RESULTS'!$A:$AB,0, MATCH('Review FPET Inputs'!$AE66, 'PASTE IN FPET RESULTS'!$A$1:$AB$1, 0)),  'PASTE IN FPET RESULTS'!$E:$E, $AC66, 'PASTE IN FPET RESULTS'!$F:$F, $AD66, 'PASTE IN FPET RESULTS'!$D:$D, 'Review FPET Inputs'!J$92)</f>
        <v>0</v>
      </c>
      <c r="K66" s="724">
        <f>SUMIFS(INDEX('PASTE IN FPET RESULTS'!$A:$AB,0, MATCH('Review FPET Inputs'!$AE66, 'PASTE IN FPET RESULTS'!$A$1:$AB$1, 0)),  'PASTE IN FPET RESULTS'!$E:$E, $AC66, 'PASTE IN FPET RESULTS'!$F:$F, $AD66, 'PASTE IN FPET RESULTS'!$D:$D, 'Review FPET Inputs'!K$92)</f>
        <v>0</v>
      </c>
      <c r="L66" s="724">
        <f>SUMIFS(INDEX('PASTE IN FPET RESULTS'!$A:$AB,0, MATCH('Review FPET Inputs'!$AE66, 'PASTE IN FPET RESULTS'!$A$1:$AB$1, 0)),  'PASTE IN FPET RESULTS'!$E:$E, $AC66, 'PASTE IN FPET RESULTS'!$F:$F, $AD66, 'PASTE IN FPET RESULTS'!$D:$D, 'Review FPET Inputs'!L$92)</f>
        <v>0</v>
      </c>
      <c r="M66" s="724">
        <f>SUMIFS(INDEX('PASTE IN FPET RESULTS'!$A:$AB,0, MATCH('Review FPET Inputs'!$AE66, 'PASTE IN FPET RESULTS'!$A$1:$AB$1, 0)),  'PASTE IN FPET RESULTS'!$E:$E, $AC66, 'PASTE IN FPET RESULTS'!$F:$F, $AD66, 'PASTE IN FPET RESULTS'!$D:$D, 'Review FPET Inputs'!M$92)</f>
        <v>0</v>
      </c>
      <c r="N66" s="724">
        <f>SUMIFS(INDEX('PASTE IN FPET RESULTS'!$A:$AB,0, MATCH('Review FPET Inputs'!$AE66, 'PASTE IN FPET RESULTS'!$A$1:$AB$1, 0)),  'PASTE IN FPET RESULTS'!$E:$E, $AC66, 'PASTE IN FPET RESULTS'!$F:$F, $AD66, 'PASTE IN FPET RESULTS'!$D:$D, 'Review FPET Inputs'!N$92)</f>
        <v>0</v>
      </c>
      <c r="O66" s="724">
        <f>SUMIFS(INDEX('PASTE IN FPET RESULTS'!$A:$AB,0, MATCH('Review FPET Inputs'!$AE66, 'PASTE IN FPET RESULTS'!$A$1:$AB$1, 0)),  'PASTE IN FPET RESULTS'!$E:$E, $AC66, 'PASTE IN FPET RESULTS'!$F:$F, $AD66, 'PASTE IN FPET RESULTS'!$D:$D, 'Review FPET Inputs'!O$92)</f>
        <v>0</v>
      </c>
      <c r="P66" s="724">
        <f>SUMIFS(INDEX('PASTE IN FPET RESULTS'!$A:$AB,0, MATCH('Review FPET Inputs'!$AE66, 'PASTE IN FPET RESULTS'!$A$1:$AB$1, 0)),  'PASTE IN FPET RESULTS'!$E:$E, $AC66, 'PASTE IN FPET RESULTS'!$F:$F, $AD66, 'PASTE IN FPET RESULTS'!$D:$D, 'Review FPET Inputs'!P$92)</f>
        <v>0</v>
      </c>
      <c r="Q66" s="724">
        <f>SUMIFS(INDEX('PASTE IN FPET RESULTS'!$A:$AB,0, MATCH('Review FPET Inputs'!$AE66, 'PASTE IN FPET RESULTS'!$A$1:$AB$1, 0)),  'PASTE IN FPET RESULTS'!$E:$E, $AC66, 'PASTE IN FPET RESULTS'!$F:$F, $AD66, 'PASTE IN FPET RESULTS'!$D:$D, 'Review FPET Inputs'!Q$92)</f>
        <v>0</v>
      </c>
      <c r="R66" s="724">
        <f>SUMIFS(INDEX('PASTE IN FPET RESULTS'!$A:$AB,0, MATCH('Review FPET Inputs'!$AE66, 'PASTE IN FPET RESULTS'!$A$1:$AB$1, 0)),  'PASTE IN FPET RESULTS'!$E:$E, $AC66, 'PASTE IN FPET RESULTS'!$F:$F, $AD66, 'PASTE IN FPET RESULTS'!$D:$D, 'Review FPET Inputs'!R$92)</f>
        <v>0</v>
      </c>
      <c r="S66" s="724">
        <f>SUMIFS(INDEX('PASTE IN FPET RESULTS'!$A:$AB,0, MATCH('Review FPET Inputs'!$AE66, 'PASTE IN FPET RESULTS'!$A$1:$AB$1, 0)),  'PASTE IN FPET RESULTS'!$E:$E, $AC66, 'PASTE IN FPET RESULTS'!$F:$F, $AD66, 'PASTE IN FPET RESULTS'!$D:$D, 'Review FPET Inputs'!S$92)</f>
        <v>0</v>
      </c>
      <c r="T66" s="724">
        <f>SUMIFS(INDEX('PASTE IN FPET RESULTS'!$A:$AB,0, MATCH('Review FPET Inputs'!$AE66, 'PASTE IN FPET RESULTS'!$A$1:$AB$1, 0)),  'PASTE IN FPET RESULTS'!$E:$E, $AC66, 'PASTE IN FPET RESULTS'!$F:$F, $AD66, 'PASTE IN FPET RESULTS'!$D:$D, 'Review FPET Inputs'!T$92)</f>
        <v>0</v>
      </c>
      <c r="U66" s="724">
        <f>SUMIFS(INDEX('PASTE IN FPET RESULTS'!$A:$AB,0, MATCH('Review FPET Inputs'!$AE66, 'PASTE IN FPET RESULTS'!$A$1:$AB$1, 0)),  'PASTE IN FPET RESULTS'!$E:$E, $AC66, 'PASTE IN FPET RESULTS'!$F:$F, $AD66, 'PASTE IN FPET RESULTS'!$D:$D, 'Review FPET Inputs'!U$92)</f>
        <v>0</v>
      </c>
      <c r="V66" s="724">
        <f>SUMIFS(INDEX('PASTE IN FPET RESULTS'!$A:$AB,0, MATCH('Review FPET Inputs'!$AE66, 'PASTE IN FPET RESULTS'!$A$1:$AB$1, 0)),  'PASTE IN FPET RESULTS'!$E:$E, $AC66, 'PASTE IN FPET RESULTS'!$F:$F, $AD66, 'PASTE IN FPET RESULTS'!$D:$D, 'Review FPET Inputs'!V$92)</f>
        <v>0</v>
      </c>
      <c r="W66" s="724">
        <f>SUMIFS(INDEX('PASTE IN FPET RESULTS'!$A:$AB,0, MATCH('Review FPET Inputs'!$AE66, 'PASTE IN FPET RESULTS'!$A$1:$AB$1, 0)),  'PASTE IN FPET RESULTS'!$E:$E, $AC66, 'PASTE IN FPET RESULTS'!$F:$F, $AD66, 'PASTE IN FPET RESULTS'!$D:$D, 'Review FPET Inputs'!W$92)</f>
        <v>0</v>
      </c>
      <c r="X66" s="724">
        <f>SUMIFS(INDEX('PASTE IN FPET RESULTS'!$A:$AB,0, MATCH('Review FPET Inputs'!$AE66, 'PASTE IN FPET RESULTS'!$A$1:$AB$1, 0)),  'PASTE IN FPET RESULTS'!$E:$E, $AC66, 'PASTE IN FPET RESULTS'!$F:$F, $AD66, 'PASTE IN FPET RESULTS'!$D:$D, 'Review FPET Inputs'!X$92)</f>
        <v>0</v>
      </c>
      <c r="Y66" s="724">
        <f>SUMIFS(INDEX('PASTE IN FPET RESULTS'!$A:$AB,0, MATCH('Review FPET Inputs'!$AE66, 'PASTE IN FPET RESULTS'!$A$1:$AB$1, 0)),  'PASTE IN FPET RESULTS'!$E:$E, $AC66, 'PASTE IN FPET RESULTS'!$F:$F, $AD66, 'PASTE IN FPET RESULTS'!$D:$D, 'Review FPET Inputs'!Y$92)</f>
        <v>0</v>
      </c>
      <c r="Z66" s="724">
        <f>SUMIFS(INDEX('PASTE IN FPET RESULTS'!$A:$AB,0, MATCH('Review FPET Inputs'!$AE66, 'PASTE IN FPET RESULTS'!$A$1:$AB$1, 0)),  'PASTE IN FPET RESULTS'!$E:$E, $AC66, 'PASTE IN FPET RESULTS'!$F:$F, $AD66, 'PASTE IN FPET RESULTS'!$D:$D, 'Review FPET Inputs'!Z$92)</f>
        <v>0</v>
      </c>
      <c r="AA66" s="724">
        <f>SUMIFS(INDEX('PASTE IN FPET RESULTS'!$A:$AB,0, MATCH('Review FPET Inputs'!$AE66, 'PASTE IN FPET RESULTS'!$A$1:$AB$1, 0)),  'PASTE IN FPET RESULTS'!$E:$E, $AC66, 'PASTE IN FPET RESULTS'!$F:$F, $AD66, 'PASTE IN FPET RESULTS'!$D:$D, 'Review FPET Inputs'!AA$92)</f>
        <v>0</v>
      </c>
      <c r="AC66" s="817" t="s">
        <v>1267</v>
      </c>
      <c r="AD66" s="817">
        <v>0.97499999999999998</v>
      </c>
      <c r="AE66" s="817" t="s">
        <v>1077</v>
      </c>
      <c r="AF66" s="8"/>
      <c r="AG66" s="24" t="s">
        <v>987</v>
      </c>
      <c r="AH66" s="651" t="s">
        <v>988</v>
      </c>
    </row>
    <row r="67" spans="2:36" s="9" customFormat="1" ht="30" customHeight="1" x14ac:dyDescent="0.3">
      <c r="C67" s="832"/>
      <c r="D67" s="631" t="str">
        <f>IF(Language="English", AG67, AH67)</f>
        <v>mCPR among unmarried women</v>
      </c>
      <c r="E67" s="315" t="s">
        <v>1018</v>
      </c>
      <c r="F67" s="315">
        <v>97.5</v>
      </c>
      <c r="G67" s="631" t="s">
        <v>1014</v>
      </c>
      <c r="H67" s="631" t="str">
        <f>G67&amp;E67&amp;F67</f>
        <v>mCPUMW97.5</v>
      </c>
      <c r="I67" s="724">
        <f>SUMIFS(INDEX('PASTE IN FPET RESULTS'!$A:$AB,0, MATCH('Review FPET Inputs'!$AE67, 'PASTE IN FPET RESULTS'!$A$1:$AB$1, 0)),  'PASTE IN FPET RESULTS'!$E:$E, $AC67, 'PASTE IN FPET RESULTS'!$F:$F, $AD67, 'PASTE IN FPET RESULTS'!$D:$D, I$37)</f>
        <v>0</v>
      </c>
      <c r="J67" s="724">
        <f>SUMIFS(INDEX('PASTE IN FPET RESULTS'!$A:$AB,0, MATCH('Review FPET Inputs'!$AE67, 'PASTE IN FPET RESULTS'!$A$1:$AB$1, 0)),  'PASTE IN FPET RESULTS'!$E:$E, $AC67, 'PASTE IN FPET RESULTS'!$F:$F, $AD67, 'PASTE IN FPET RESULTS'!$D:$D, 'Review FPET Inputs'!J$92)</f>
        <v>0</v>
      </c>
      <c r="K67" s="724">
        <f>SUMIFS(INDEX('PASTE IN FPET RESULTS'!$A:$AB,0, MATCH('Review FPET Inputs'!$AE67, 'PASTE IN FPET RESULTS'!$A$1:$AB$1, 0)),  'PASTE IN FPET RESULTS'!$E:$E, $AC67, 'PASTE IN FPET RESULTS'!$F:$F, $AD67, 'PASTE IN FPET RESULTS'!$D:$D, 'Review FPET Inputs'!K$92)</f>
        <v>0</v>
      </c>
      <c r="L67" s="724">
        <f>SUMIFS(INDEX('PASTE IN FPET RESULTS'!$A:$AB,0, MATCH('Review FPET Inputs'!$AE67, 'PASTE IN FPET RESULTS'!$A$1:$AB$1, 0)),  'PASTE IN FPET RESULTS'!$E:$E, $AC67, 'PASTE IN FPET RESULTS'!$F:$F, $AD67, 'PASTE IN FPET RESULTS'!$D:$D, 'Review FPET Inputs'!L$92)</f>
        <v>0</v>
      </c>
      <c r="M67" s="724">
        <f>SUMIFS(INDEX('PASTE IN FPET RESULTS'!$A:$AB,0, MATCH('Review FPET Inputs'!$AE67, 'PASTE IN FPET RESULTS'!$A$1:$AB$1, 0)),  'PASTE IN FPET RESULTS'!$E:$E, $AC67, 'PASTE IN FPET RESULTS'!$F:$F, $AD67, 'PASTE IN FPET RESULTS'!$D:$D, 'Review FPET Inputs'!M$92)</f>
        <v>0</v>
      </c>
      <c r="N67" s="724">
        <f>SUMIFS(INDEX('PASTE IN FPET RESULTS'!$A:$AB,0, MATCH('Review FPET Inputs'!$AE67, 'PASTE IN FPET RESULTS'!$A$1:$AB$1, 0)),  'PASTE IN FPET RESULTS'!$E:$E, $AC67, 'PASTE IN FPET RESULTS'!$F:$F, $AD67, 'PASTE IN FPET RESULTS'!$D:$D, 'Review FPET Inputs'!N$92)</f>
        <v>0</v>
      </c>
      <c r="O67" s="724">
        <f>SUMIFS(INDEX('PASTE IN FPET RESULTS'!$A:$AB,0, MATCH('Review FPET Inputs'!$AE67, 'PASTE IN FPET RESULTS'!$A$1:$AB$1, 0)),  'PASTE IN FPET RESULTS'!$E:$E, $AC67, 'PASTE IN FPET RESULTS'!$F:$F, $AD67, 'PASTE IN FPET RESULTS'!$D:$D, 'Review FPET Inputs'!O$92)</f>
        <v>0</v>
      </c>
      <c r="P67" s="724">
        <f>SUMIFS(INDEX('PASTE IN FPET RESULTS'!$A:$AB,0, MATCH('Review FPET Inputs'!$AE67, 'PASTE IN FPET RESULTS'!$A$1:$AB$1, 0)),  'PASTE IN FPET RESULTS'!$E:$E, $AC67, 'PASTE IN FPET RESULTS'!$F:$F, $AD67, 'PASTE IN FPET RESULTS'!$D:$D, 'Review FPET Inputs'!P$92)</f>
        <v>0</v>
      </c>
      <c r="Q67" s="724">
        <f>SUMIFS(INDEX('PASTE IN FPET RESULTS'!$A:$AB,0, MATCH('Review FPET Inputs'!$AE67, 'PASTE IN FPET RESULTS'!$A$1:$AB$1, 0)),  'PASTE IN FPET RESULTS'!$E:$E, $AC67, 'PASTE IN FPET RESULTS'!$F:$F, $AD67, 'PASTE IN FPET RESULTS'!$D:$D, 'Review FPET Inputs'!Q$92)</f>
        <v>0</v>
      </c>
      <c r="R67" s="724">
        <f>SUMIFS(INDEX('PASTE IN FPET RESULTS'!$A:$AB,0, MATCH('Review FPET Inputs'!$AE67, 'PASTE IN FPET RESULTS'!$A$1:$AB$1, 0)),  'PASTE IN FPET RESULTS'!$E:$E, $AC67, 'PASTE IN FPET RESULTS'!$F:$F, $AD67, 'PASTE IN FPET RESULTS'!$D:$D, 'Review FPET Inputs'!R$92)</f>
        <v>0</v>
      </c>
      <c r="S67" s="724">
        <f>SUMIFS(INDEX('PASTE IN FPET RESULTS'!$A:$AB,0, MATCH('Review FPET Inputs'!$AE67, 'PASTE IN FPET RESULTS'!$A$1:$AB$1, 0)),  'PASTE IN FPET RESULTS'!$E:$E, $AC67, 'PASTE IN FPET RESULTS'!$F:$F, $AD67, 'PASTE IN FPET RESULTS'!$D:$D, 'Review FPET Inputs'!S$92)</f>
        <v>0</v>
      </c>
      <c r="T67" s="724">
        <f>SUMIFS(INDEX('PASTE IN FPET RESULTS'!$A:$AB,0, MATCH('Review FPET Inputs'!$AE67, 'PASTE IN FPET RESULTS'!$A$1:$AB$1, 0)),  'PASTE IN FPET RESULTS'!$E:$E, $AC67, 'PASTE IN FPET RESULTS'!$F:$F, $AD67, 'PASTE IN FPET RESULTS'!$D:$D, 'Review FPET Inputs'!T$92)</f>
        <v>0</v>
      </c>
      <c r="U67" s="724">
        <f>SUMIFS(INDEX('PASTE IN FPET RESULTS'!$A:$AB,0, MATCH('Review FPET Inputs'!$AE67, 'PASTE IN FPET RESULTS'!$A$1:$AB$1, 0)),  'PASTE IN FPET RESULTS'!$E:$E, $AC67, 'PASTE IN FPET RESULTS'!$F:$F, $AD67, 'PASTE IN FPET RESULTS'!$D:$D, 'Review FPET Inputs'!U$92)</f>
        <v>0</v>
      </c>
      <c r="V67" s="724">
        <f>SUMIFS(INDEX('PASTE IN FPET RESULTS'!$A:$AB,0, MATCH('Review FPET Inputs'!$AE67, 'PASTE IN FPET RESULTS'!$A$1:$AB$1, 0)),  'PASTE IN FPET RESULTS'!$E:$E, $AC67, 'PASTE IN FPET RESULTS'!$F:$F, $AD67, 'PASTE IN FPET RESULTS'!$D:$D, 'Review FPET Inputs'!V$92)</f>
        <v>0</v>
      </c>
      <c r="W67" s="724">
        <f>SUMIFS(INDEX('PASTE IN FPET RESULTS'!$A:$AB,0, MATCH('Review FPET Inputs'!$AE67, 'PASTE IN FPET RESULTS'!$A$1:$AB$1, 0)),  'PASTE IN FPET RESULTS'!$E:$E, $AC67, 'PASTE IN FPET RESULTS'!$F:$F, $AD67, 'PASTE IN FPET RESULTS'!$D:$D, 'Review FPET Inputs'!W$92)</f>
        <v>0</v>
      </c>
      <c r="X67" s="724">
        <f>SUMIFS(INDEX('PASTE IN FPET RESULTS'!$A:$AB,0, MATCH('Review FPET Inputs'!$AE67, 'PASTE IN FPET RESULTS'!$A$1:$AB$1, 0)),  'PASTE IN FPET RESULTS'!$E:$E, $AC67, 'PASTE IN FPET RESULTS'!$F:$F, $AD67, 'PASTE IN FPET RESULTS'!$D:$D, 'Review FPET Inputs'!X$92)</f>
        <v>0</v>
      </c>
      <c r="Y67" s="724">
        <f>SUMIFS(INDEX('PASTE IN FPET RESULTS'!$A:$AB,0, MATCH('Review FPET Inputs'!$AE67, 'PASTE IN FPET RESULTS'!$A$1:$AB$1, 0)),  'PASTE IN FPET RESULTS'!$E:$E, $AC67, 'PASTE IN FPET RESULTS'!$F:$F, $AD67, 'PASTE IN FPET RESULTS'!$D:$D, 'Review FPET Inputs'!Y$92)</f>
        <v>0</v>
      </c>
      <c r="Z67" s="724">
        <f>SUMIFS(INDEX('PASTE IN FPET RESULTS'!$A:$AB,0, MATCH('Review FPET Inputs'!$AE67, 'PASTE IN FPET RESULTS'!$A$1:$AB$1, 0)),  'PASTE IN FPET RESULTS'!$E:$E, $AC67, 'PASTE IN FPET RESULTS'!$F:$F, $AD67, 'PASTE IN FPET RESULTS'!$D:$D, 'Review FPET Inputs'!Z$92)</f>
        <v>0</v>
      </c>
      <c r="AA67" s="724">
        <f>SUMIFS(INDEX('PASTE IN FPET RESULTS'!$A:$AB,0, MATCH('Review FPET Inputs'!$AE67, 'PASTE IN FPET RESULTS'!$A$1:$AB$1, 0)),  'PASTE IN FPET RESULTS'!$E:$E, $AC67, 'PASTE IN FPET RESULTS'!$F:$F, $AD67, 'PASTE IN FPET RESULTS'!$D:$D, 'Review FPET Inputs'!AA$92)</f>
        <v>0</v>
      </c>
      <c r="AC67" s="817" t="s">
        <v>1267</v>
      </c>
      <c r="AD67" s="817">
        <v>0.97499999999999998</v>
      </c>
      <c r="AE67" s="817" t="s">
        <v>1079</v>
      </c>
      <c r="AF67" s="8"/>
      <c r="AG67" s="650" t="s">
        <v>989</v>
      </c>
      <c r="AH67" s="651" t="s">
        <v>990</v>
      </c>
      <c r="AI67" s="619"/>
      <c r="AJ67" s="619"/>
    </row>
    <row r="68" spans="2:36" s="44" customFormat="1" ht="30" customHeight="1" x14ac:dyDescent="0.3">
      <c r="B68" s="9"/>
      <c r="C68" s="832"/>
      <c r="D68" s="631" t="str">
        <f>IF(Language="English", AG68, AH68)</f>
        <v>Demand Satisfied with modern methods (unmarried)</v>
      </c>
      <c r="E68" s="315" t="s">
        <v>1018</v>
      </c>
      <c r="F68" s="315">
        <v>97.5</v>
      </c>
      <c r="G68" s="631" t="s">
        <v>1016</v>
      </c>
      <c r="H68" s="631" t="str">
        <f>G68&amp;E68&amp;F68</f>
        <v>mDSUMW97.5</v>
      </c>
      <c r="I68" s="724">
        <f>SUMIFS(INDEX('PASTE IN FPET RESULTS'!$A:$AB,0, MATCH('Review FPET Inputs'!$AE68, 'PASTE IN FPET RESULTS'!$A$1:$AB$1, 0)),  'PASTE IN FPET RESULTS'!$E:$E, $AC68, 'PASTE IN FPET RESULTS'!$F:$F, $AD68, 'PASTE IN FPET RESULTS'!$D:$D, I$37)</f>
        <v>0</v>
      </c>
      <c r="J68" s="724">
        <f>SUMIFS(INDEX('PASTE IN FPET RESULTS'!$A:$AB,0, MATCH('Review FPET Inputs'!$AE68, 'PASTE IN FPET RESULTS'!$A$1:$AB$1, 0)),  'PASTE IN FPET RESULTS'!$E:$E, $AC68, 'PASTE IN FPET RESULTS'!$F:$F, $AD68, 'PASTE IN FPET RESULTS'!$D:$D, 'Review FPET Inputs'!J$92)</f>
        <v>0</v>
      </c>
      <c r="K68" s="724">
        <f>SUMIFS(INDEX('PASTE IN FPET RESULTS'!$A:$AB,0, MATCH('Review FPET Inputs'!$AE68, 'PASTE IN FPET RESULTS'!$A$1:$AB$1, 0)),  'PASTE IN FPET RESULTS'!$E:$E, $AC68, 'PASTE IN FPET RESULTS'!$F:$F, $AD68, 'PASTE IN FPET RESULTS'!$D:$D, 'Review FPET Inputs'!K$92)</f>
        <v>0</v>
      </c>
      <c r="L68" s="724">
        <f>SUMIFS(INDEX('PASTE IN FPET RESULTS'!$A:$AB,0, MATCH('Review FPET Inputs'!$AE68, 'PASTE IN FPET RESULTS'!$A$1:$AB$1, 0)),  'PASTE IN FPET RESULTS'!$E:$E, $AC68, 'PASTE IN FPET RESULTS'!$F:$F, $AD68, 'PASTE IN FPET RESULTS'!$D:$D, 'Review FPET Inputs'!L$92)</f>
        <v>0</v>
      </c>
      <c r="M68" s="724">
        <f>SUMIFS(INDEX('PASTE IN FPET RESULTS'!$A:$AB,0, MATCH('Review FPET Inputs'!$AE68, 'PASTE IN FPET RESULTS'!$A$1:$AB$1, 0)),  'PASTE IN FPET RESULTS'!$E:$E, $AC68, 'PASTE IN FPET RESULTS'!$F:$F, $AD68, 'PASTE IN FPET RESULTS'!$D:$D, 'Review FPET Inputs'!M$92)</f>
        <v>0</v>
      </c>
      <c r="N68" s="724">
        <f>SUMIFS(INDEX('PASTE IN FPET RESULTS'!$A:$AB,0, MATCH('Review FPET Inputs'!$AE68, 'PASTE IN FPET RESULTS'!$A$1:$AB$1, 0)),  'PASTE IN FPET RESULTS'!$E:$E, $AC68, 'PASTE IN FPET RESULTS'!$F:$F, $AD68, 'PASTE IN FPET RESULTS'!$D:$D, 'Review FPET Inputs'!N$92)</f>
        <v>0</v>
      </c>
      <c r="O68" s="724">
        <f>SUMIFS(INDEX('PASTE IN FPET RESULTS'!$A:$AB,0, MATCH('Review FPET Inputs'!$AE68, 'PASTE IN FPET RESULTS'!$A$1:$AB$1, 0)),  'PASTE IN FPET RESULTS'!$E:$E, $AC68, 'PASTE IN FPET RESULTS'!$F:$F, $AD68, 'PASTE IN FPET RESULTS'!$D:$D, 'Review FPET Inputs'!O$92)</f>
        <v>0</v>
      </c>
      <c r="P68" s="724">
        <f>SUMIFS(INDEX('PASTE IN FPET RESULTS'!$A:$AB,0, MATCH('Review FPET Inputs'!$AE68, 'PASTE IN FPET RESULTS'!$A$1:$AB$1, 0)),  'PASTE IN FPET RESULTS'!$E:$E, $AC68, 'PASTE IN FPET RESULTS'!$F:$F, $AD68, 'PASTE IN FPET RESULTS'!$D:$D, 'Review FPET Inputs'!P$92)</f>
        <v>0</v>
      </c>
      <c r="Q68" s="724">
        <f>SUMIFS(INDEX('PASTE IN FPET RESULTS'!$A:$AB,0, MATCH('Review FPET Inputs'!$AE68, 'PASTE IN FPET RESULTS'!$A$1:$AB$1, 0)),  'PASTE IN FPET RESULTS'!$E:$E, $AC68, 'PASTE IN FPET RESULTS'!$F:$F, $AD68, 'PASTE IN FPET RESULTS'!$D:$D, 'Review FPET Inputs'!Q$92)</f>
        <v>0</v>
      </c>
      <c r="R68" s="724">
        <f>SUMIFS(INDEX('PASTE IN FPET RESULTS'!$A:$AB,0, MATCH('Review FPET Inputs'!$AE68, 'PASTE IN FPET RESULTS'!$A$1:$AB$1, 0)),  'PASTE IN FPET RESULTS'!$E:$E, $AC68, 'PASTE IN FPET RESULTS'!$F:$F, $AD68, 'PASTE IN FPET RESULTS'!$D:$D, 'Review FPET Inputs'!R$92)</f>
        <v>0</v>
      </c>
      <c r="S68" s="724">
        <f>SUMIFS(INDEX('PASTE IN FPET RESULTS'!$A:$AB,0, MATCH('Review FPET Inputs'!$AE68, 'PASTE IN FPET RESULTS'!$A$1:$AB$1, 0)),  'PASTE IN FPET RESULTS'!$E:$E, $AC68, 'PASTE IN FPET RESULTS'!$F:$F, $AD68, 'PASTE IN FPET RESULTS'!$D:$D, 'Review FPET Inputs'!S$92)</f>
        <v>0</v>
      </c>
      <c r="T68" s="724">
        <f>SUMIFS(INDEX('PASTE IN FPET RESULTS'!$A:$AB,0, MATCH('Review FPET Inputs'!$AE68, 'PASTE IN FPET RESULTS'!$A$1:$AB$1, 0)),  'PASTE IN FPET RESULTS'!$E:$E, $AC68, 'PASTE IN FPET RESULTS'!$F:$F, $AD68, 'PASTE IN FPET RESULTS'!$D:$D, 'Review FPET Inputs'!T$92)</f>
        <v>0</v>
      </c>
      <c r="U68" s="724">
        <f>SUMIFS(INDEX('PASTE IN FPET RESULTS'!$A:$AB,0, MATCH('Review FPET Inputs'!$AE68, 'PASTE IN FPET RESULTS'!$A$1:$AB$1, 0)),  'PASTE IN FPET RESULTS'!$E:$E, $AC68, 'PASTE IN FPET RESULTS'!$F:$F, $AD68, 'PASTE IN FPET RESULTS'!$D:$D, 'Review FPET Inputs'!U$92)</f>
        <v>0</v>
      </c>
      <c r="V68" s="724">
        <f>SUMIFS(INDEX('PASTE IN FPET RESULTS'!$A:$AB,0, MATCH('Review FPET Inputs'!$AE68, 'PASTE IN FPET RESULTS'!$A$1:$AB$1, 0)),  'PASTE IN FPET RESULTS'!$E:$E, $AC68, 'PASTE IN FPET RESULTS'!$F:$F, $AD68, 'PASTE IN FPET RESULTS'!$D:$D, 'Review FPET Inputs'!V$92)</f>
        <v>0</v>
      </c>
      <c r="W68" s="724">
        <f>SUMIFS(INDEX('PASTE IN FPET RESULTS'!$A:$AB,0, MATCH('Review FPET Inputs'!$AE68, 'PASTE IN FPET RESULTS'!$A$1:$AB$1, 0)),  'PASTE IN FPET RESULTS'!$E:$E, $AC68, 'PASTE IN FPET RESULTS'!$F:$F, $AD68, 'PASTE IN FPET RESULTS'!$D:$D, 'Review FPET Inputs'!W$92)</f>
        <v>0</v>
      </c>
      <c r="X68" s="724">
        <f>SUMIFS(INDEX('PASTE IN FPET RESULTS'!$A:$AB,0, MATCH('Review FPET Inputs'!$AE68, 'PASTE IN FPET RESULTS'!$A$1:$AB$1, 0)),  'PASTE IN FPET RESULTS'!$E:$E, $AC68, 'PASTE IN FPET RESULTS'!$F:$F, $AD68, 'PASTE IN FPET RESULTS'!$D:$D, 'Review FPET Inputs'!X$92)</f>
        <v>0</v>
      </c>
      <c r="Y68" s="724">
        <f>SUMIFS(INDEX('PASTE IN FPET RESULTS'!$A:$AB,0, MATCH('Review FPET Inputs'!$AE68, 'PASTE IN FPET RESULTS'!$A$1:$AB$1, 0)),  'PASTE IN FPET RESULTS'!$E:$E, $AC68, 'PASTE IN FPET RESULTS'!$F:$F, $AD68, 'PASTE IN FPET RESULTS'!$D:$D, 'Review FPET Inputs'!Y$92)</f>
        <v>0</v>
      </c>
      <c r="Z68" s="724">
        <f>SUMIFS(INDEX('PASTE IN FPET RESULTS'!$A:$AB,0, MATCH('Review FPET Inputs'!$AE68, 'PASTE IN FPET RESULTS'!$A$1:$AB$1, 0)),  'PASTE IN FPET RESULTS'!$E:$E, $AC68, 'PASTE IN FPET RESULTS'!$F:$F, $AD68, 'PASTE IN FPET RESULTS'!$D:$D, 'Review FPET Inputs'!Z$92)</f>
        <v>0</v>
      </c>
      <c r="AA68" s="724">
        <f>SUMIFS(INDEX('PASTE IN FPET RESULTS'!$A:$AB,0, MATCH('Review FPET Inputs'!$AE68, 'PASTE IN FPET RESULTS'!$A$1:$AB$1, 0)),  'PASTE IN FPET RESULTS'!$E:$E, $AC68, 'PASTE IN FPET RESULTS'!$F:$F, $AD68, 'PASTE IN FPET RESULTS'!$D:$D, 'Review FPET Inputs'!AA$92)</f>
        <v>0</v>
      </c>
      <c r="AC68" s="817" t="s">
        <v>1267</v>
      </c>
      <c r="AD68" s="817">
        <v>0.97499999999999998</v>
      </c>
      <c r="AE68" s="817" t="s">
        <v>1089</v>
      </c>
      <c r="AF68" s="681"/>
      <c r="AG68" s="233" t="s">
        <v>993</v>
      </c>
      <c r="AH68" s="652" t="s">
        <v>994</v>
      </c>
      <c r="AI68" s="619"/>
      <c r="AJ68" s="619"/>
    </row>
    <row r="69" spans="2:36" s="44" customFormat="1" ht="30" customHeight="1" x14ac:dyDescent="0.3">
      <c r="B69" s="9"/>
      <c r="C69" s="832"/>
      <c r="D69" s="631" t="str">
        <f>IF(Language="English", AG69, AH69)</f>
        <v>Unmet need for modern methods (unmarried)</v>
      </c>
      <c r="E69" s="315" t="s">
        <v>1018</v>
      </c>
      <c r="F69" s="315">
        <v>97.5</v>
      </c>
      <c r="G69" s="631" t="s">
        <v>1017</v>
      </c>
      <c r="H69" s="631" t="str">
        <f>G69&amp;E69&amp;F69</f>
        <v>mUNUMW97.5</v>
      </c>
      <c r="I69" s="724">
        <f>SUMIFS(INDEX('PASTE IN FPET RESULTS'!$A:$AB,0, MATCH('Review FPET Inputs'!$AE69, 'PASTE IN FPET RESULTS'!$A$1:$AB$1, 0)),  'PASTE IN FPET RESULTS'!$E:$E, $AC69, 'PASTE IN FPET RESULTS'!$F:$F, $AD69, 'PASTE IN FPET RESULTS'!$D:$D, I$37)</f>
        <v>0</v>
      </c>
      <c r="J69" s="724">
        <f>SUMIFS(INDEX('PASTE IN FPET RESULTS'!$A:$AB,0, MATCH('Review FPET Inputs'!$AE69, 'PASTE IN FPET RESULTS'!$A$1:$AB$1, 0)),  'PASTE IN FPET RESULTS'!$E:$E, $AC69, 'PASTE IN FPET RESULTS'!$F:$F, $AD69, 'PASTE IN FPET RESULTS'!$D:$D, 'Review FPET Inputs'!J$92)</f>
        <v>0</v>
      </c>
      <c r="K69" s="724">
        <f>SUMIFS(INDEX('PASTE IN FPET RESULTS'!$A:$AB,0, MATCH('Review FPET Inputs'!$AE69, 'PASTE IN FPET RESULTS'!$A$1:$AB$1, 0)),  'PASTE IN FPET RESULTS'!$E:$E, $AC69, 'PASTE IN FPET RESULTS'!$F:$F, $AD69, 'PASTE IN FPET RESULTS'!$D:$D, 'Review FPET Inputs'!K$92)</f>
        <v>0</v>
      </c>
      <c r="L69" s="724">
        <f>SUMIFS(INDEX('PASTE IN FPET RESULTS'!$A:$AB,0, MATCH('Review FPET Inputs'!$AE69, 'PASTE IN FPET RESULTS'!$A$1:$AB$1, 0)),  'PASTE IN FPET RESULTS'!$E:$E, $AC69, 'PASTE IN FPET RESULTS'!$F:$F, $AD69, 'PASTE IN FPET RESULTS'!$D:$D, 'Review FPET Inputs'!L$92)</f>
        <v>0</v>
      </c>
      <c r="M69" s="724">
        <f>SUMIFS(INDEX('PASTE IN FPET RESULTS'!$A:$AB,0, MATCH('Review FPET Inputs'!$AE69, 'PASTE IN FPET RESULTS'!$A$1:$AB$1, 0)),  'PASTE IN FPET RESULTS'!$E:$E, $AC69, 'PASTE IN FPET RESULTS'!$F:$F, $AD69, 'PASTE IN FPET RESULTS'!$D:$D, 'Review FPET Inputs'!M$92)</f>
        <v>0</v>
      </c>
      <c r="N69" s="724">
        <f>SUMIFS(INDEX('PASTE IN FPET RESULTS'!$A:$AB,0, MATCH('Review FPET Inputs'!$AE69, 'PASTE IN FPET RESULTS'!$A$1:$AB$1, 0)),  'PASTE IN FPET RESULTS'!$E:$E, $AC69, 'PASTE IN FPET RESULTS'!$F:$F, $AD69, 'PASTE IN FPET RESULTS'!$D:$D, 'Review FPET Inputs'!N$92)</f>
        <v>0</v>
      </c>
      <c r="O69" s="724">
        <f>SUMIFS(INDEX('PASTE IN FPET RESULTS'!$A:$AB,0, MATCH('Review FPET Inputs'!$AE69, 'PASTE IN FPET RESULTS'!$A$1:$AB$1, 0)),  'PASTE IN FPET RESULTS'!$E:$E, $AC69, 'PASTE IN FPET RESULTS'!$F:$F, $AD69, 'PASTE IN FPET RESULTS'!$D:$D, 'Review FPET Inputs'!O$92)</f>
        <v>0</v>
      </c>
      <c r="P69" s="724">
        <f>SUMIFS(INDEX('PASTE IN FPET RESULTS'!$A:$AB,0, MATCH('Review FPET Inputs'!$AE69, 'PASTE IN FPET RESULTS'!$A$1:$AB$1, 0)),  'PASTE IN FPET RESULTS'!$E:$E, $AC69, 'PASTE IN FPET RESULTS'!$F:$F, $AD69, 'PASTE IN FPET RESULTS'!$D:$D, 'Review FPET Inputs'!P$92)</f>
        <v>0</v>
      </c>
      <c r="Q69" s="724">
        <f>SUMIFS(INDEX('PASTE IN FPET RESULTS'!$A:$AB,0, MATCH('Review FPET Inputs'!$AE69, 'PASTE IN FPET RESULTS'!$A$1:$AB$1, 0)),  'PASTE IN FPET RESULTS'!$E:$E, $AC69, 'PASTE IN FPET RESULTS'!$F:$F, $AD69, 'PASTE IN FPET RESULTS'!$D:$D, 'Review FPET Inputs'!Q$92)</f>
        <v>0</v>
      </c>
      <c r="R69" s="724">
        <f>SUMIFS(INDEX('PASTE IN FPET RESULTS'!$A:$AB,0, MATCH('Review FPET Inputs'!$AE69, 'PASTE IN FPET RESULTS'!$A$1:$AB$1, 0)),  'PASTE IN FPET RESULTS'!$E:$E, $AC69, 'PASTE IN FPET RESULTS'!$F:$F, $AD69, 'PASTE IN FPET RESULTS'!$D:$D, 'Review FPET Inputs'!R$92)</f>
        <v>0</v>
      </c>
      <c r="S69" s="724">
        <f>SUMIFS(INDEX('PASTE IN FPET RESULTS'!$A:$AB,0, MATCH('Review FPET Inputs'!$AE69, 'PASTE IN FPET RESULTS'!$A$1:$AB$1, 0)),  'PASTE IN FPET RESULTS'!$E:$E, $AC69, 'PASTE IN FPET RESULTS'!$F:$F, $AD69, 'PASTE IN FPET RESULTS'!$D:$D, 'Review FPET Inputs'!S$92)</f>
        <v>0</v>
      </c>
      <c r="T69" s="724">
        <f>SUMIFS(INDEX('PASTE IN FPET RESULTS'!$A:$AB,0, MATCH('Review FPET Inputs'!$AE69, 'PASTE IN FPET RESULTS'!$A$1:$AB$1, 0)),  'PASTE IN FPET RESULTS'!$E:$E, $AC69, 'PASTE IN FPET RESULTS'!$F:$F, $AD69, 'PASTE IN FPET RESULTS'!$D:$D, 'Review FPET Inputs'!T$92)</f>
        <v>0</v>
      </c>
      <c r="U69" s="724">
        <f>SUMIFS(INDEX('PASTE IN FPET RESULTS'!$A:$AB,0, MATCH('Review FPET Inputs'!$AE69, 'PASTE IN FPET RESULTS'!$A$1:$AB$1, 0)),  'PASTE IN FPET RESULTS'!$E:$E, $AC69, 'PASTE IN FPET RESULTS'!$F:$F, $AD69, 'PASTE IN FPET RESULTS'!$D:$D, 'Review FPET Inputs'!U$92)</f>
        <v>0</v>
      </c>
      <c r="V69" s="724">
        <f>SUMIFS(INDEX('PASTE IN FPET RESULTS'!$A:$AB,0, MATCH('Review FPET Inputs'!$AE69, 'PASTE IN FPET RESULTS'!$A$1:$AB$1, 0)),  'PASTE IN FPET RESULTS'!$E:$E, $AC69, 'PASTE IN FPET RESULTS'!$F:$F, $AD69, 'PASTE IN FPET RESULTS'!$D:$D, 'Review FPET Inputs'!V$92)</f>
        <v>0</v>
      </c>
      <c r="W69" s="724">
        <f>SUMIFS(INDEX('PASTE IN FPET RESULTS'!$A:$AB,0, MATCH('Review FPET Inputs'!$AE69, 'PASTE IN FPET RESULTS'!$A$1:$AB$1, 0)),  'PASTE IN FPET RESULTS'!$E:$E, $AC69, 'PASTE IN FPET RESULTS'!$F:$F, $AD69, 'PASTE IN FPET RESULTS'!$D:$D, 'Review FPET Inputs'!W$92)</f>
        <v>0</v>
      </c>
      <c r="X69" s="724">
        <f>SUMIFS(INDEX('PASTE IN FPET RESULTS'!$A:$AB,0, MATCH('Review FPET Inputs'!$AE69, 'PASTE IN FPET RESULTS'!$A$1:$AB$1, 0)),  'PASTE IN FPET RESULTS'!$E:$E, $AC69, 'PASTE IN FPET RESULTS'!$F:$F, $AD69, 'PASTE IN FPET RESULTS'!$D:$D, 'Review FPET Inputs'!X$92)</f>
        <v>0</v>
      </c>
      <c r="Y69" s="724">
        <f>SUMIFS(INDEX('PASTE IN FPET RESULTS'!$A:$AB,0, MATCH('Review FPET Inputs'!$AE69, 'PASTE IN FPET RESULTS'!$A$1:$AB$1, 0)),  'PASTE IN FPET RESULTS'!$E:$E, $AC69, 'PASTE IN FPET RESULTS'!$F:$F, $AD69, 'PASTE IN FPET RESULTS'!$D:$D, 'Review FPET Inputs'!Y$92)</f>
        <v>0</v>
      </c>
      <c r="Z69" s="724">
        <f>SUMIFS(INDEX('PASTE IN FPET RESULTS'!$A:$AB,0, MATCH('Review FPET Inputs'!$AE69, 'PASTE IN FPET RESULTS'!$A$1:$AB$1, 0)),  'PASTE IN FPET RESULTS'!$E:$E, $AC69, 'PASTE IN FPET RESULTS'!$F:$F, $AD69, 'PASTE IN FPET RESULTS'!$D:$D, 'Review FPET Inputs'!Z$92)</f>
        <v>0</v>
      </c>
      <c r="AA69" s="724">
        <f>SUMIFS(INDEX('PASTE IN FPET RESULTS'!$A:$AB,0, MATCH('Review FPET Inputs'!$AE69, 'PASTE IN FPET RESULTS'!$A$1:$AB$1, 0)),  'PASTE IN FPET RESULTS'!$E:$E, $AC69, 'PASTE IN FPET RESULTS'!$F:$F, $AD69, 'PASTE IN FPET RESULTS'!$D:$D, 'Review FPET Inputs'!AA$92)</f>
        <v>0</v>
      </c>
      <c r="AC69" s="817" t="s">
        <v>1267</v>
      </c>
      <c r="AD69" s="817">
        <v>0.97499999999999998</v>
      </c>
      <c r="AE69" s="817" t="s">
        <v>1097</v>
      </c>
      <c r="AF69" s="681"/>
      <c r="AG69" s="233" t="s">
        <v>992</v>
      </c>
      <c r="AH69" s="652" t="s">
        <v>991</v>
      </c>
      <c r="AI69" s="619"/>
      <c r="AJ69" s="619"/>
    </row>
    <row r="70" spans="2:36" s="9" customFormat="1" ht="8.25" customHeight="1" x14ac:dyDescent="0.3">
      <c r="AC70" s="716"/>
      <c r="AD70" s="716"/>
      <c r="AE70" s="716"/>
      <c r="AF70" s="8"/>
      <c r="AG70" s="645"/>
      <c r="AH70" s="648"/>
      <c r="AI70" s="10"/>
    </row>
    <row r="71" spans="2:36" s="9" customFormat="1" ht="21" x14ac:dyDescent="0.4">
      <c r="B71" s="833" t="str">
        <f>IF(Language=English, AG71, AH71)&amp; " (2012 - 2030)"</f>
        <v>2-C: All Women Results &amp; Uncertainty Intervals (2012 - 2030)</v>
      </c>
      <c r="C71" s="834"/>
      <c r="D71" s="834"/>
      <c r="E71" s="834"/>
      <c r="F71" s="834"/>
      <c r="G71" s="834"/>
      <c r="H71" s="834"/>
      <c r="I71" s="834"/>
      <c r="J71" s="834"/>
      <c r="K71" s="834"/>
      <c r="L71" s="834"/>
      <c r="M71" s="834"/>
      <c r="N71" s="834"/>
      <c r="O71" s="834"/>
      <c r="P71" s="834"/>
      <c r="Q71" s="834"/>
      <c r="R71" s="834"/>
      <c r="S71" s="834"/>
      <c r="T71" s="834"/>
      <c r="U71" s="834"/>
      <c r="V71" s="834"/>
      <c r="W71" s="834"/>
      <c r="X71" s="834"/>
      <c r="Y71" s="834"/>
      <c r="Z71" s="834"/>
      <c r="AA71" s="834"/>
      <c r="AB71" s="835"/>
      <c r="AC71" s="823"/>
      <c r="AD71" s="823"/>
      <c r="AE71" s="823"/>
      <c r="AF71" s="569"/>
      <c r="AG71" s="250" t="s">
        <v>1067</v>
      </c>
      <c r="AH71" s="26" t="s">
        <v>1068</v>
      </c>
    </row>
    <row r="72" spans="2:36" s="9" customFormat="1" ht="40.950000000000003" hidden="1" customHeight="1" x14ac:dyDescent="0.4">
      <c r="B72" s="836"/>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8"/>
      <c r="AC72" s="824"/>
      <c r="AD72" s="824"/>
      <c r="AE72" s="824"/>
      <c r="AF72" s="569"/>
      <c r="AG72" s="250"/>
      <c r="AH72" s="26"/>
    </row>
    <row r="73" spans="2:36" s="9" customFormat="1" ht="18.600000000000001" customHeight="1" x14ac:dyDescent="0.3">
      <c r="E73" s="22"/>
      <c r="F73" s="22"/>
      <c r="G73" s="22"/>
      <c r="H73" s="22"/>
      <c r="I73" s="557">
        <v>2012</v>
      </c>
      <c r="J73" s="557">
        <v>2013</v>
      </c>
      <c r="K73" s="557">
        <v>2014</v>
      </c>
      <c r="L73" s="557">
        <v>2015</v>
      </c>
      <c r="M73" s="557">
        <v>2016</v>
      </c>
      <c r="N73" s="557">
        <v>2017</v>
      </c>
      <c r="O73" s="557">
        <v>2018</v>
      </c>
      <c r="P73" s="557">
        <v>2019</v>
      </c>
      <c r="Q73" s="557">
        <v>2020</v>
      </c>
      <c r="R73" s="557">
        <v>2021</v>
      </c>
      <c r="S73" s="557">
        <v>2022</v>
      </c>
      <c r="T73" s="557">
        <v>2023</v>
      </c>
      <c r="U73" s="557">
        <v>2024</v>
      </c>
      <c r="V73" s="557">
        <v>2025</v>
      </c>
      <c r="W73" s="557">
        <v>2026</v>
      </c>
      <c r="X73" s="557">
        <v>2027</v>
      </c>
      <c r="Y73" s="557">
        <v>2028</v>
      </c>
      <c r="Z73" s="557">
        <v>2029</v>
      </c>
      <c r="AA73" s="557">
        <v>2030</v>
      </c>
      <c r="AC73" s="817" t="s">
        <v>1074</v>
      </c>
      <c r="AD73" s="817" t="s">
        <v>1075</v>
      </c>
      <c r="AE73" s="167" t="s">
        <v>28</v>
      </c>
      <c r="AF73" s="8"/>
      <c r="AG73" s="649" t="s">
        <v>972</v>
      </c>
      <c r="AH73" s="649" t="s">
        <v>971</v>
      </c>
    </row>
    <row r="74" spans="2:36" s="9" customFormat="1" ht="30" customHeight="1" x14ac:dyDescent="0.3">
      <c r="C74" s="832" t="str">
        <f>IF(Language="English", AG73, AH73)</f>
        <v>Median (50 Percentile)</v>
      </c>
      <c r="D74" s="631" t="str">
        <f>IF(Language="English", AG74, AH74)</f>
        <v>CPR among ALL women</v>
      </c>
      <c r="E74" s="315" t="s">
        <v>505</v>
      </c>
      <c r="F74" s="315">
        <v>50</v>
      </c>
      <c r="G74" s="631" t="s">
        <v>1015</v>
      </c>
      <c r="H74" s="631" t="str">
        <f>G74&amp;E74&amp;F74</f>
        <v>CPAW50</v>
      </c>
      <c r="I74" s="724">
        <f>SUMIFS(INDEX('PASTE IN FPET RESULTS'!$A:$AB,0, MATCH('Review FPET Inputs'!$AE74, 'PASTE IN FPET RESULTS'!$A$1:$AB$1, 0)),  'PASTE IN FPET RESULTS'!$E:$E, $AC74, 'PASTE IN FPET RESULTS'!$F:$F, $AD74, 'PASTE IN FPET RESULTS'!$D:$D, I$37)</f>
        <v>0</v>
      </c>
      <c r="J74" s="724">
        <f>SUMIFS(INDEX('PASTE IN FPET RESULTS'!$A:$AB,0, MATCH('Review FPET Inputs'!$AE74, 'PASTE IN FPET RESULTS'!$A$1:$AB$1, 0)),  'PASTE IN FPET RESULTS'!$E:$E, $AC74, 'PASTE IN FPET RESULTS'!$F:$F, $AD74, 'PASTE IN FPET RESULTS'!$D:$D, 'Review FPET Inputs'!J$92)</f>
        <v>0</v>
      </c>
      <c r="K74" s="724">
        <f>SUMIFS(INDEX('PASTE IN FPET RESULTS'!$A:$AB,0, MATCH('Review FPET Inputs'!$AE74, 'PASTE IN FPET RESULTS'!$A$1:$AB$1, 0)),  'PASTE IN FPET RESULTS'!$E:$E, $AC74, 'PASTE IN FPET RESULTS'!$F:$F, $AD74, 'PASTE IN FPET RESULTS'!$D:$D, 'Review FPET Inputs'!K$92)</f>
        <v>0</v>
      </c>
      <c r="L74" s="724">
        <f>SUMIFS(INDEX('PASTE IN FPET RESULTS'!$A:$AB,0, MATCH('Review FPET Inputs'!$AE74, 'PASTE IN FPET RESULTS'!$A$1:$AB$1, 0)),  'PASTE IN FPET RESULTS'!$E:$E, $AC74, 'PASTE IN FPET RESULTS'!$F:$F, $AD74, 'PASTE IN FPET RESULTS'!$D:$D, 'Review FPET Inputs'!L$92)</f>
        <v>0</v>
      </c>
      <c r="M74" s="724">
        <f>SUMIFS(INDEX('PASTE IN FPET RESULTS'!$A:$AB,0, MATCH('Review FPET Inputs'!$AE74, 'PASTE IN FPET RESULTS'!$A$1:$AB$1, 0)),  'PASTE IN FPET RESULTS'!$E:$E, $AC74, 'PASTE IN FPET RESULTS'!$F:$F, $AD74, 'PASTE IN FPET RESULTS'!$D:$D, 'Review FPET Inputs'!M$92)</f>
        <v>0</v>
      </c>
      <c r="N74" s="724">
        <f>SUMIFS(INDEX('PASTE IN FPET RESULTS'!$A:$AB,0, MATCH('Review FPET Inputs'!$AE74, 'PASTE IN FPET RESULTS'!$A$1:$AB$1, 0)),  'PASTE IN FPET RESULTS'!$E:$E, $AC74, 'PASTE IN FPET RESULTS'!$F:$F, $AD74, 'PASTE IN FPET RESULTS'!$D:$D, 'Review FPET Inputs'!N$92)</f>
        <v>0</v>
      </c>
      <c r="O74" s="724">
        <f>SUMIFS(INDEX('PASTE IN FPET RESULTS'!$A:$AB,0, MATCH('Review FPET Inputs'!$AE74, 'PASTE IN FPET RESULTS'!$A$1:$AB$1, 0)),  'PASTE IN FPET RESULTS'!$E:$E, $AC74, 'PASTE IN FPET RESULTS'!$F:$F, $AD74, 'PASTE IN FPET RESULTS'!$D:$D, 'Review FPET Inputs'!O$92)</f>
        <v>0</v>
      </c>
      <c r="P74" s="724">
        <f>SUMIFS(INDEX('PASTE IN FPET RESULTS'!$A:$AB,0, MATCH('Review FPET Inputs'!$AE74, 'PASTE IN FPET RESULTS'!$A$1:$AB$1, 0)),  'PASTE IN FPET RESULTS'!$E:$E, $AC74, 'PASTE IN FPET RESULTS'!$F:$F, $AD74, 'PASTE IN FPET RESULTS'!$D:$D, 'Review FPET Inputs'!P$92)</f>
        <v>0</v>
      </c>
      <c r="Q74" s="724">
        <f>SUMIFS(INDEX('PASTE IN FPET RESULTS'!$A:$AB,0, MATCH('Review FPET Inputs'!$AE74, 'PASTE IN FPET RESULTS'!$A$1:$AB$1, 0)),  'PASTE IN FPET RESULTS'!$E:$E, $AC74, 'PASTE IN FPET RESULTS'!$F:$F, $AD74, 'PASTE IN FPET RESULTS'!$D:$D, 'Review FPET Inputs'!Q$92)</f>
        <v>0</v>
      </c>
      <c r="R74" s="724">
        <f>SUMIFS(INDEX('PASTE IN FPET RESULTS'!$A:$AB,0, MATCH('Review FPET Inputs'!$AE74, 'PASTE IN FPET RESULTS'!$A$1:$AB$1, 0)),  'PASTE IN FPET RESULTS'!$E:$E, $AC74, 'PASTE IN FPET RESULTS'!$F:$F, $AD74, 'PASTE IN FPET RESULTS'!$D:$D, 'Review FPET Inputs'!R$92)</f>
        <v>0</v>
      </c>
      <c r="S74" s="724">
        <f>SUMIFS(INDEX('PASTE IN FPET RESULTS'!$A:$AB,0, MATCH('Review FPET Inputs'!$AE74, 'PASTE IN FPET RESULTS'!$A$1:$AB$1, 0)),  'PASTE IN FPET RESULTS'!$E:$E, $AC74, 'PASTE IN FPET RESULTS'!$F:$F, $AD74, 'PASTE IN FPET RESULTS'!$D:$D, 'Review FPET Inputs'!S$92)</f>
        <v>0</v>
      </c>
      <c r="T74" s="724">
        <f>SUMIFS(INDEX('PASTE IN FPET RESULTS'!$A:$AB,0, MATCH('Review FPET Inputs'!$AE74, 'PASTE IN FPET RESULTS'!$A$1:$AB$1, 0)),  'PASTE IN FPET RESULTS'!$E:$E, $AC74, 'PASTE IN FPET RESULTS'!$F:$F, $AD74, 'PASTE IN FPET RESULTS'!$D:$D, 'Review FPET Inputs'!T$92)</f>
        <v>0</v>
      </c>
      <c r="U74" s="724">
        <f>SUMIFS(INDEX('PASTE IN FPET RESULTS'!$A:$AB,0, MATCH('Review FPET Inputs'!$AE74, 'PASTE IN FPET RESULTS'!$A$1:$AB$1, 0)),  'PASTE IN FPET RESULTS'!$E:$E, $AC74, 'PASTE IN FPET RESULTS'!$F:$F, $AD74, 'PASTE IN FPET RESULTS'!$D:$D, 'Review FPET Inputs'!U$92)</f>
        <v>0</v>
      </c>
      <c r="V74" s="724">
        <f>SUMIFS(INDEX('PASTE IN FPET RESULTS'!$A:$AB,0, MATCH('Review FPET Inputs'!$AE74, 'PASTE IN FPET RESULTS'!$A$1:$AB$1, 0)),  'PASTE IN FPET RESULTS'!$E:$E, $AC74, 'PASTE IN FPET RESULTS'!$F:$F, $AD74, 'PASTE IN FPET RESULTS'!$D:$D, 'Review FPET Inputs'!V$92)</f>
        <v>0</v>
      </c>
      <c r="W74" s="724">
        <f>SUMIFS(INDEX('PASTE IN FPET RESULTS'!$A:$AB,0, MATCH('Review FPET Inputs'!$AE74, 'PASTE IN FPET RESULTS'!$A$1:$AB$1, 0)),  'PASTE IN FPET RESULTS'!$E:$E, $AC74, 'PASTE IN FPET RESULTS'!$F:$F, $AD74, 'PASTE IN FPET RESULTS'!$D:$D, 'Review FPET Inputs'!W$92)</f>
        <v>0</v>
      </c>
      <c r="X74" s="724">
        <f>SUMIFS(INDEX('PASTE IN FPET RESULTS'!$A:$AB,0, MATCH('Review FPET Inputs'!$AE74, 'PASTE IN FPET RESULTS'!$A$1:$AB$1, 0)),  'PASTE IN FPET RESULTS'!$E:$E, $AC74, 'PASTE IN FPET RESULTS'!$F:$F, $AD74, 'PASTE IN FPET RESULTS'!$D:$D, 'Review FPET Inputs'!X$92)</f>
        <v>0</v>
      </c>
      <c r="Y74" s="724">
        <f>SUMIFS(INDEX('PASTE IN FPET RESULTS'!$A:$AB,0, MATCH('Review FPET Inputs'!$AE74, 'PASTE IN FPET RESULTS'!$A$1:$AB$1, 0)),  'PASTE IN FPET RESULTS'!$E:$E, $AC74, 'PASTE IN FPET RESULTS'!$F:$F, $AD74, 'PASTE IN FPET RESULTS'!$D:$D, 'Review FPET Inputs'!Y$92)</f>
        <v>0</v>
      </c>
      <c r="Z74" s="724">
        <f>SUMIFS(INDEX('PASTE IN FPET RESULTS'!$A:$AB,0, MATCH('Review FPET Inputs'!$AE74, 'PASTE IN FPET RESULTS'!$A$1:$AB$1, 0)),  'PASTE IN FPET RESULTS'!$E:$E, $AC74, 'PASTE IN FPET RESULTS'!$F:$F, $AD74, 'PASTE IN FPET RESULTS'!$D:$D, 'Review FPET Inputs'!Z$92)</f>
        <v>0</v>
      </c>
      <c r="AA74" s="724">
        <f>SUMIFS(INDEX('PASTE IN FPET RESULTS'!$A:$AB,0, MATCH('Review FPET Inputs'!$AE74, 'PASTE IN FPET RESULTS'!$A$1:$AB$1, 0)),  'PASTE IN FPET RESULTS'!$E:$E, $AC74, 'PASTE IN FPET RESULTS'!$F:$F, $AD74, 'PASTE IN FPET RESULTS'!$D:$D, 'Review FPET Inputs'!AA$92)</f>
        <v>0</v>
      </c>
      <c r="AC74" s="817" t="s">
        <v>1268</v>
      </c>
      <c r="AD74" s="817" t="s">
        <v>1098</v>
      </c>
      <c r="AE74" s="817" t="s">
        <v>1077</v>
      </c>
      <c r="AF74" s="8"/>
      <c r="AG74" s="24" t="s">
        <v>995</v>
      </c>
      <c r="AH74" s="651" t="s">
        <v>708</v>
      </c>
      <c r="AI74" s="233" t="s">
        <v>997</v>
      </c>
      <c r="AJ74" s="652" t="s">
        <v>707</v>
      </c>
    </row>
    <row r="75" spans="2:36" s="9" customFormat="1" ht="30" customHeight="1" x14ac:dyDescent="0.3">
      <c r="C75" s="832"/>
      <c r="D75" s="631" t="str">
        <f>IF(Language="English", AG75, AH75)</f>
        <v>mCPR among ALL women</v>
      </c>
      <c r="E75" s="315" t="s">
        <v>505</v>
      </c>
      <c r="F75" s="315">
        <v>50</v>
      </c>
      <c r="G75" s="631" t="s">
        <v>1014</v>
      </c>
      <c r="H75" s="631" t="str">
        <f>G75&amp;E75&amp;F75</f>
        <v>mCPAW50</v>
      </c>
      <c r="I75" s="724">
        <f>SUMIFS(INDEX('PASTE IN FPET RESULTS'!$A:$AB,0, MATCH('Review FPET Inputs'!$AE75, 'PASTE IN FPET RESULTS'!$A$1:$AB$1, 0)),  'PASTE IN FPET RESULTS'!$E:$E, $AC75, 'PASTE IN FPET RESULTS'!$F:$F, $AD75, 'PASTE IN FPET RESULTS'!$D:$D, I$37)</f>
        <v>0</v>
      </c>
      <c r="J75" s="724">
        <f>SUMIFS(INDEX('PASTE IN FPET RESULTS'!$A:$AB,0, MATCH('Review FPET Inputs'!$AE75, 'PASTE IN FPET RESULTS'!$A$1:$AB$1, 0)),  'PASTE IN FPET RESULTS'!$E:$E, $AC75, 'PASTE IN FPET RESULTS'!$F:$F, $AD75, 'PASTE IN FPET RESULTS'!$D:$D, 'Review FPET Inputs'!J$92)</f>
        <v>0</v>
      </c>
      <c r="K75" s="724">
        <f>SUMIFS(INDEX('PASTE IN FPET RESULTS'!$A:$AB,0, MATCH('Review FPET Inputs'!$AE75, 'PASTE IN FPET RESULTS'!$A$1:$AB$1, 0)),  'PASTE IN FPET RESULTS'!$E:$E, $AC75, 'PASTE IN FPET RESULTS'!$F:$F, $AD75, 'PASTE IN FPET RESULTS'!$D:$D, 'Review FPET Inputs'!K$92)</f>
        <v>0</v>
      </c>
      <c r="L75" s="724">
        <f>SUMIFS(INDEX('PASTE IN FPET RESULTS'!$A:$AB,0, MATCH('Review FPET Inputs'!$AE75, 'PASTE IN FPET RESULTS'!$A$1:$AB$1, 0)),  'PASTE IN FPET RESULTS'!$E:$E, $AC75, 'PASTE IN FPET RESULTS'!$F:$F, $AD75, 'PASTE IN FPET RESULTS'!$D:$D, 'Review FPET Inputs'!L$92)</f>
        <v>0</v>
      </c>
      <c r="M75" s="724">
        <f>SUMIFS(INDEX('PASTE IN FPET RESULTS'!$A:$AB,0, MATCH('Review FPET Inputs'!$AE75, 'PASTE IN FPET RESULTS'!$A$1:$AB$1, 0)),  'PASTE IN FPET RESULTS'!$E:$E, $AC75, 'PASTE IN FPET RESULTS'!$F:$F, $AD75, 'PASTE IN FPET RESULTS'!$D:$D, 'Review FPET Inputs'!M$92)</f>
        <v>0</v>
      </c>
      <c r="N75" s="724">
        <f>SUMIFS(INDEX('PASTE IN FPET RESULTS'!$A:$AB,0, MATCH('Review FPET Inputs'!$AE75, 'PASTE IN FPET RESULTS'!$A$1:$AB$1, 0)),  'PASTE IN FPET RESULTS'!$E:$E, $AC75, 'PASTE IN FPET RESULTS'!$F:$F, $AD75, 'PASTE IN FPET RESULTS'!$D:$D, 'Review FPET Inputs'!N$92)</f>
        <v>0</v>
      </c>
      <c r="O75" s="724">
        <f>SUMIFS(INDEX('PASTE IN FPET RESULTS'!$A:$AB,0, MATCH('Review FPET Inputs'!$AE75, 'PASTE IN FPET RESULTS'!$A$1:$AB$1, 0)),  'PASTE IN FPET RESULTS'!$E:$E, $AC75, 'PASTE IN FPET RESULTS'!$F:$F, $AD75, 'PASTE IN FPET RESULTS'!$D:$D, 'Review FPET Inputs'!O$92)</f>
        <v>0</v>
      </c>
      <c r="P75" s="724">
        <f>SUMIFS(INDEX('PASTE IN FPET RESULTS'!$A:$AB,0, MATCH('Review FPET Inputs'!$AE75, 'PASTE IN FPET RESULTS'!$A$1:$AB$1, 0)),  'PASTE IN FPET RESULTS'!$E:$E, $AC75, 'PASTE IN FPET RESULTS'!$F:$F, $AD75, 'PASTE IN FPET RESULTS'!$D:$D, 'Review FPET Inputs'!P$92)</f>
        <v>0</v>
      </c>
      <c r="Q75" s="724">
        <f>SUMIFS(INDEX('PASTE IN FPET RESULTS'!$A:$AB,0, MATCH('Review FPET Inputs'!$AE75, 'PASTE IN FPET RESULTS'!$A$1:$AB$1, 0)),  'PASTE IN FPET RESULTS'!$E:$E, $AC75, 'PASTE IN FPET RESULTS'!$F:$F, $AD75, 'PASTE IN FPET RESULTS'!$D:$D, 'Review FPET Inputs'!Q$92)</f>
        <v>0</v>
      </c>
      <c r="R75" s="724">
        <f>SUMIFS(INDEX('PASTE IN FPET RESULTS'!$A:$AB,0, MATCH('Review FPET Inputs'!$AE75, 'PASTE IN FPET RESULTS'!$A$1:$AB$1, 0)),  'PASTE IN FPET RESULTS'!$E:$E, $AC75, 'PASTE IN FPET RESULTS'!$F:$F, $AD75, 'PASTE IN FPET RESULTS'!$D:$D, 'Review FPET Inputs'!R$92)</f>
        <v>0</v>
      </c>
      <c r="S75" s="724">
        <f>SUMIFS(INDEX('PASTE IN FPET RESULTS'!$A:$AB,0, MATCH('Review FPET Inputs'!$AE75, 'PASTE IN FPET RESULTS'!$A$1:$AB$1, 0)),  'PASTE IN FPET RESULTS'!$E:$E, $AC75, 'PASTE IN FPET RESULTS'!$F:$F, $AD75, 'PASTE IN FPET RESULTS'!$D:$D, 'Review FPET Inputs'!S$92)</f>
        <v>0</v>
      </c>
      <c r="T75" s="724">
        <f>SUMIFS(INDEX('PASTE IN FPET RESULTS'!$A:$AB,0, MATCH('Review FPET Inputs'!$AE75, 'PASTE IN FPET RESULTS'!$A$1:$AB$1, 0)),  'PASTE IN FPET RESULTS'!$E:$E, $AC75, 'PASTE IN FPET RESULTS'!$F:$F, $AD75, 'PASTE IN FPET RESULTS'!$D:$D, 'Review FPET Inputs'!T$92)</f>
        <v>0</v>
      </c>
      <c r="U75" s="724">
        <f>SUMIFS(INDEX('PASTE IN FPET RESULTS'!$A:$AB,0, MATCH('Review FPET Inputs'!$AE75, 'PASTE IN FPET RESULTS'!$A$1:$AB$1, 0)),  'PASTE IN FPET RESULTS'!$E:$E, $AC75, 'PASTE IN FPET RESULTS'!$F:$F, $AD75, 'PASTE IN FPET RESULTS'!$D:$D, 'Review FPET Inputs'!U$92)</f>
        <v>0</v>
      </c>
      <c r="V75" s="724">
        <f>SUMIFS(INDEX('PASTE IN FPET RESULTS'!$A:$AB,0, MATCH('Review FPET Inputs'!$AE75, 'PASTE IN FPET RESULTS'!$A$1:$AB$1, 0)),  'PASTE IN FPET RESULTS'!$E:$E, $AC75, 'PASTE IN FPET RESULTS'!$F:$F, $AD75, 'PASTE IN FPET RESULTS'!$D:$D, 'Review FPET Inputs'!V$92)</f>
        <v>0</v>
      </c>
      <c r="W75" s="724">
        <f>SUMIFS(INDEX('PASTE IN FPET RESULTS'!$A:$AB,0, MATCH('Review FPET Inputs'!$AE75, 'PASTE IN FPET RESULTS'!$A$1:$AB$1, 0)),  'PASTE IN FPET RESULTS'!$E:$E, $AC75, 'PASTE IN FPET RESULTS'!$F:$F, $AD75, 'PASTE IN FPET RESULTS'!$D:$D, 'Review FPET Inputs'!W$92)</f>
        <v>0</v>
      </c>
      <c r="X75" s="724">
        <f>SUMIFS(INDEX('PASTE IN FPET RESULTS'!$A:$AB,0, MATCH('Review FPET Inputs'!$AE75, 'PASTE IN FPET RESULTS'!$A$1:$AB$1, 0)),  'PASTE IN FPET RESULTS'!$E:$E, $AC75, 'PASTE IN FPET RESULTS'!$F:$F, $AD75, 'PASTE IN FPET RESULTS'!$D:$D, 'Review FPET Inputs'!X$92)</f>
        <v>0</v>
      </c>
      <c r="Y75" s="724">
        <f>SUMIFS(INDEX('PASTE IN FPET RESULTS'!$A:$AB,0, MATCH('Review FPET Inputs'!$AE75, 'PASTE IN FPET RESULTS'!$A$1:$AB$1, 0)),  'PASTE IN FPET RESULTS'!$E:$E, $AC75, 'PASTE IN FPET RESULTS'!$F:$F, $AD75, 'PASTE IN FPET RESULTS'!$D:$D, 'Review FPET Inputs'!Y$92)</f>
        <v>0</v>
      </c>
      <c r="Z75" s="724">
        <f>SUMIFS(INDEX('PASTE IN FPET RESULTS'!$A:$AB,0, MATCH('Review FPET Inputs'!$AE75, 'PASTE IN FPET RESULTS'!$A$1:$AB$1, 0)),  'PASTE IN FPET RESULTS'!$E:$E, $AC75, 'PASTE IN FPET RESULTS'!$F:$F, $AD75, 'PASTE IN FPET RESULTS'!$D:$D, 'Review FPET Inputs'!Z$92)</f>
        <v>0</v>
      </c>
      <c r="AA75" s="724">
        <f>SUMIFS(INDEX('PASTE IN FPET RESULTS'!$A:$AB,0, MATCH('Review FPET Inputs'!$AE75, 'PASTE IN FPET RESULTS'!$A$1:$AB$1, 0)),  'PASTE IN FPET RESULTS'!$E:$E, $AC75, 'PASTE IN FPET RESULTS'!$F:$F, $AD75, 'PASTE IN FPET RESULTS'!$D:$D, 'Review FPET Inputs'!AA$92)</f>
        <v>0</v>
      </c>
      <c r="AC75" s="817" t="s">
        <v>1268</v>
      </c>
      <c r="AD75" s="817" t="s">
        <v>1098</v>
      </c>
      <c r="AE75" s="817" t="s">
        <v>1079</v>
      </c>
      <c r="AF75" s="8"/>
      <c r="AG75" s="650" t="s">
        <v>996</v>
      </c>
      <c r="AH75" s="651" t="s">
        <v>709</v>
      </c>
      <c r="AI75" s="619"/>
      <c r="AJ75" s="619"/>
    </row>
    <row r="76" spans="2:36" s="44" customFormat="1" ht="30" customHeight="1" x14ac:dyDescent="0.3">
      <c r="B76" s="9"/>
      <c r="C76" s="832"/>
      <c r="D76" s="631" t="str">
        <f>IF(Language="English", AG76, AH76)</f>
        <v>Demand Satisfied with modern methods (ALL)</v>
      </c>
      <c r="E76" s="315" t="s">
        <v>505</v>
      </c>
      <c r="F76" s="315">
        <v>50</v>
      </c>
      <c r="G76" s="631" t="s">
        <v>1016</v>
      </c>
      <c r="H76" s="631" t="str">
        <f>G76&amp;E76&amp;F76</f>
        <v>mDSAW50</v>
      </c>
      <c r="I76" s="724">
        <f>SUMIFS(INDEX('PASTE IN FPET RESULTS'!$A:$AB,0, MATCH('Review FPET Inputs'!$AE76, 'PASTE IN FPET RESULTS'!$A$1:$AB$1, 0)),  'PASTE IN FPET RESULTS'!$E:$E, $AC76, 'PASTE IN FPET RESULTS'!$F:$F, $AD76, 'PASTE IN FPET RESULTS'!$D:$D, I$37)</f>
        <v>0</v>
      </c>
      <c r="J76" s="724">
        <f>SUMIFS(INDEX('PASTE IN FPET RESULTS'!$A:$AB,0, MATCH('Review FPET Inputs'!$AE76, 'PASTE IN FPET RESULTS'!$A$1:$AB$1, 0)),  'PASTE IN FPET RESULTS'!$E:$E, $AC76, 'PASTE IN FPET RESULTS'!$F:$F, $AD76, 'PASTE IN FPET RESULTS'!$D:$D, 'Review FPET Inputs'!J$92)</f>
        <v>0</v>
      </c>
      <c r="K76" s="724">
        <f>SUMIFS(INDEX('PASTE IN FPET RESULTS'!$A:$AB,0, MATCH('Review FPET Inputs'!$AE76, 'PASTE IN FPET RESULTS'!$A$1:$AB$1, 0)),  'PASTE IN FPET RESULTS'!$E:$E, $AC76, 'PASTE IN FPET RESULTS'!$F:$F, $AD76, 'PASTE IN FPET RESULTS'!$D:$D, 'Review FPET Inputs'!K$92)</f>
        <v>0</v>
      </c>
      <c r="L76" s="724">
        <f>SUMIFS(INDEX('PASTE IN FPET RESULTS'!$A:$AB,0, MATCH('Review FPET Inputs'!$AE76, 'PASTE IN FPET RESULTS'!$A$1:$AB$1, 0)),  'PASTE IN FPET RESULTS'!$E:$E, $AC76, 'PASTE IN FPET RESULTS'!$F:$F, $AD76, 'PASTE IN FPET RESULTS'!$D:$D, 'Review FPET Inputs'!L$92)</f>
        <v>0</v>
      </c>
      <c r="M76" s="724">
        <f>SUMIFS(INDEX('PASTE IN FPET RESULTS'!$A:$AB,0, MATCH('Review FPET Inputs'!$AE76, 'PASTE IN FPET RESULTS'!$A$1:$AB$1, 0)),  'PASTE IN FPET RESULTS'!$E:$E, $AC76, 'PASTE IN FPET RESULTS'!$F:$F, $AD76, 'PASTE IN FPET RESULTS'!$D:$D, 'Review FPET Inputs'!M$92)</f>
        <v>0</v>
      </c>
      <c r="N76" s="724">
        <f>SUMIFS(INDEX('PASTE IN FPET RESULTS'!$A:$AB,0, MATCH('Review FPET Inputs'!$AE76, 'PASTE IN FPET RESULTS'!$A$1:$AB$1, 0)),  'PASTE IN FPET RESULTS'!$E:$E, $AC76, 'PASTE IN FPET RESULTS'!$F:$F, $AD76, 'PASTE IN FPET RESULTS'!$D:$D, 'Review FPET Inputs'!N$92)</f>
        <v>0</v>
      </c>
      <c r="O76" s="724">
        <f>SUMIFS(INDEX('PASTE IN FPET RESULTS'!$A:$AB,0, MATCH('Review FPET Inputs'!$AE76, 'PASTE IN FPET RESULTS'!$A$1:$AB$1, 0)),  'PASTE IN FPET RESULTS'!$E:$E, $AC76, 'PASTE IN FPET RESULTS'!$F:$F, $AD76, 'PASTE IN FPET RESULTS'!$D:$D, 'Review FPET Inputs'!O$92)</f>
        <v>0</v>
      </c>
      <c r="P76" s="724">
        <f>SUMIFS(INDEX('PASTE IN FPET RESULTS'!$A:$AB,0, MATCH('Review FPET Inputs'!$AE76, 'PASTE IN FPET RESULTS'!$A$1:$AB$1, 0)),  'PASTE IN FPET RESULTS'!$E:$E, $AC76, 'PASTE IN FPET RESULTS'!$F:$F, $AD76, 'PASTE IN FPET RESULTS'!$D:$D, 'Review FPET Inputs'!P$92)</f>
        <v>0</v>
      </c>
      <c r="Q76" s="724">
        <f>SUMIFS(INDEX('PASTE IN FPET RESULTS'!$A:$AB,0, MATCH('Review FPET Inputs'!$AE76, 'PASTE IN FPET RESULTS'!$A$1:$AB$1, 0)),  'PASTE IN FPET RESULTS'!$E:$E, $AC76, 'PASTE IN FPET RESULTS'!$F:$F, $AD76, 'PASTE IN FPET RESULTS'!$D:$D, 'Review FPET Inputs'!Q$92)</f>
        <v>0</v>
      </c>
      <c r="R76" s="724">
        <f>SUMIFS(INDEX('PASTE IN FPET RESULTS'!$A:$AB,0, MATCH('Review FPET Inputs'!$AE76, 'PASTE IN FPET RESULTS'!$A$1:$AB$1, 0)),  'PASTE IN FPET RESULTS'!$E:$E, $AC76, 'PASTE IN FPET RESULTS'!$F:$F, $AD76, 'PASTE IN FPET RESULTS'!$D:$D, 'Review FPET Inputs'!R$92)</f>
        <v>0</v>
      </c>
      <c r="S76" s="724">
        <f>SUMIFS(INDEX('PASTE IN FPET RESULTS'!$A:$AB,0, MATCH('Review FPET Inputs'!$AE76, 'PASTE IN FPET RESULTS'!$A$1:$AB$1, 0)),  'PASTE IN FPET RESULTS'!$E:$E, $AC76, 'PASTE IN FPET RESULTS'!$F:$F, $AD76, 'PASTE IN FPET RESULTS'!$D:$D, 'Review FPET Inputs'!S$92)</f>
        <v>0</v>
      </c>
      <c r="T76" s="724">
        <f>SUMIFS(INDEX('PASTE IN FPET RESULTS'!$A:$AB,0, MATCH('Review FPET Inputs'!$AE76, 'PASTE IN FPET RESULTS'!$A$1:$AB$1, 0)),  'PASTE IN FPET RESULTS'!$E:$E, $AC76, 'PASTE IN FPET RESULTS'!$F:$F, $AD76, 'PASTE IN FPET RESULTS'!$D:$D, 'Review FPET Inputs'!T$92)</f>
        <v>0</v>
      </c>
      <c r="U76" s="724">
        <f>SUMIFS(INDEX('PASTE IN FPET RESULTS'!$A:$AB,0, MATCH('Review FPET Inputs'!$AE76, 'PASTE IN FPET RESULTS'!$A$1:$AB$1, 0)),  'PASTE IN FPET RESULTS'!$E:$E, $AC76, 'PASTE IN FPET RESULTS'!$F:$F, $AD76, 'PASTE IN FPET RESULTS'!$D:$D, 'Review FPET Inputs'!U$92)</f>
        <v>0</v>
      </c>
      <c r="V76" s="724">
        <f>SUMIFS(INDEX('PASTE IN FPET RESULTS'!$A:$AB,0, MATCH('Review FPET Inputs'!$AE76, 'PASTE IN FPET RESULTS'!$A$1:$AB$1, 0)),  'PASTE IN FPET RESULTS'!$E:$E, $AC76, 'PASTE IN FPET RESULTS'!$F:$F, $AD76, 'PASTE IN FPET RESULTS'!$D:$D, 'Review FPET Inputs'!V$92)</f>
        <v>0</v>
      </c>
      <c r="W76" s="724">
        <f>SUMIFS(INDEX('PASTE IN FPET RESULTS'!$A:$AB,0, MATCH('Review FPET Inputs'!$AE76, 'PASTE IN FPET RESULTS'!$A$1:$AB$1, 0)),  'PASTE IN FPET RESULTS'!$E:$E, $AC76, 'PASTE IN FPET RESULTS'!$F:$F, $AD76, 'PASTE IN FPET RESULTS'!$D:$D, 'Review FPET Inputs'!W$92)</f>
        <v>0</v>
      </c>
      <c r="X76" s="724">
        <f>SUMIFS(INDEX('PASTE IN FPET RESULTS'!$A:$AB,0, MATCH('Review FPET Inputs'!$AE76, 'PASTE IN FPET RESULTS'!$A$1:$AB$1, 0)),  'PASTE IN FPET RESULTS'!$E:$E, $AC76, 'PASTE IN FPET RESULTS'!$F:$F, $AD76, 'PASTE IN FPET RESULTS'!$D:$D, 'Review FPET Inputs'!X$92)</f>
        <v>0</v>
      </c>
      <c r="Y76" s="724">
        <f>SUMIFS(INDEX('PASTE IN FPET RESULTS'!$A:$AB,0, MATCH('Review FPET Inputs'!$AE76, 'PASTE IN FPET RESULTS'!$A$1:$AB$1, 0)),  'PASTE IN FPET RESULTS'!$E:$E, $AC76, 'PASTE IN FPET RESULTS'!$F:$F, $AD76, 'PASTE IN FPET RESULTS'!$D:$D, 'Review FPET Inputs'!Y$92)</f>
        <v>0</v>
      </c>
      <c r="Z76" s="724">
        <f>SUMIFS(INDEX('PASTE IN FPET RESULTS'!$A:$AB,0, MATCH('Review FPET Inputs'!$AE76, 'PASTE IN FPET RESULTS'!$A$1:$AB$1, 0)),  'PASTE IN FPET RESULTS'!$E:$E, $AC76, 'PASTE IN FPET RESULTS'!$F:$F, $AD76, 'PASTE IN FPET RESULTS'!$D:$D, 'Review FPET Inputs'!Z$92)</f>
        <v>0</v>
      </c>
      <c r="AA76" s="724">
        <f>SUMIFS(INDEX('PASTE IN FPET RESULTS'!$A:$AB,0, MATCH('Review FPET Inputs'!$AE76, 'PASTE IN FPET RESULTS'!$A$1:$AB$1, 0)),  'PASTE IN FPET RESULTS'!$E:$E, $AC76, 'PASTE IN FPET RESULTS'!$F:$F, $AD76, 'PASTE IN FPET RESULTS'!$D:$D, 'Review FPET Inputs'!AA$92)</f>
        <v>0</v>
      </c>
      <c r="AC76" s="817" t="s">
        <v>1268</v>
      </c>
      <c r="AD76" s="817" t="s">
        <v>1098</v>
      </c>
      <c r="AE76" s="817" t="s">
        <v>1089</v>
      </c>
      <c r="AF76" s="681"/>
      <c r="AG76" s="233" t="s">
        <v>998</v>
      </c>
      <c r="AH76" s="652" t="s">
        <v>999</v>
      </c>
      <c r="AI76" s="619"/>
      <c r="AJ76" s="619"/>
    </row>
    <row r="77" spans="2:36" s="44" customFormat="1" ht="30" customHeight="1" x14ac:dyDescent="0.3">
      <c r="B77" s="9"/>
      <c r="C77" s="832"/>
      <c r="D77" s="631" t="str">
        <f>IF(Language="English", AG77, AH77)</f>
        <v>Unmet need for modern methods (ALL)</v>
      </c>
      <c r="E77" s="315" t="s">
        <v>505</v>
      </c>
      <c r="F77" s="315">
        <v>50</v>
      </c>
      <c r="G77" s="631" t="s">
        <v>1017</v>
      </c>
      <c r="H77" s="631" t="str">
        <f>G77&amp;E77&amp;F77</f>
        <v>mUNAW50</v>
      </c>
      <c r="I77" s="724">
        <f>SUMIFS(INDEX('PASTE IN FPET RESULTS'!$A:$AB,0, MATCH('Review FPET Inputs'!$AE77, 'PASTE IN FPET RESULTS'!$A$1:$AB$1, 0)),  'PASTE IN FPET RESULTS'!$E:$E, $AC77, 'PASTE IN FPET RESULTS'!$F:$F, $AD77, 'PASTE IN FPET RESULTS'!$D:$D, I$37)</f>
        <v>0</v>
      </c>
      <c r="J77" s="724">
        <f>SUMIFS(INDEX('PASTE IN FPET RESULTS'!$A:$AB,0, MATCH('Review FPET Inputs'!$AE77, 'PASTE IN FPET RESULTS'!$A$1:$AB$1, 0)),  'PASTE IN FPET RESULTS'!$E:$E, $AC77, 'PASTE IN FPET RESULTS'!$F:$F, $AD77, 'PASTE IN FPET RESULTS'!$D:$D, 'Review FPET Inputs'!J$92)</f>
        <v>0</v>
      </c>
      <c r="K77" s="724">
        <f>SUMIFS(INDEX('PASTE IN FPET RESULTS'!$A:$AB,0, MATCH('Review FPET Inputs'!$AE77, 'PASTE IN FPET RESULTS'!$A$1:$AB$1, 0)),  'PASTE IN FPET RESULTS'!$E:$E, $AC77, 'PASTE IN FPET RESULTS'!$F:$F, $AD77, 'PASTE IN FPET RESULTS'!$D:$D, 'Review FPET Inputs'!K$92)</f>
        <v>0</v>
      </c>
      <c r="L77" s="724">
        <f>SUMIFS(INDEX('PASTE IN FPET RESULTS'!$A:$AB,0, MATCH('Review FPET Inputs'!$AE77, 'PASTE IN FPET RESULTS'!$A$1:$AB$1, 0)),  'PASTE IN FPET RESULTS'!$E:$E, $AC77, 'PASTE IN FPET RESULTS'!$F:$F, $AD77, 'PASTE IN FPET RESULTS'!$D:$D, 'Review FPET Inputs'!L$92)</f>
        <v>0</v>
      </c>
      <c r="M77" s="724">
        <f>SUMIFS(INDEX('PASTE IN FPET RESULTS'!$A:$AB,0, MATCH('Review FPET Inputs'!$AE77, 'PASTE IN FPET RESULTS'!$A$1:$AB$1, 0)),  'PASTE IN FPET RESULTS'!$E:$E, $AC77, 'PASTE IN FPET RESULTS'!$F:$F, $AD77, 'PASTE IN FPET RESULTS'!$D:$D, 'Review FPET Inputs'!M$92)</f>
        <v>0</v>
      </c>
      <c r="N77" s="724">
        <f>SUMIFS(INDEX('PASTE IN FPET RESULTS'!$A:$AB,0, MATCH('Review FPET Inputs'!$AE77, 'PASTE IN FPET RESULTS'!$A$1:$AB$1, 0)),  'PASTE IN FPET RESULTS'!$E:$E, $AC77, 'PASTE IN FPET RESULTS'!$F:$F, $AD77, 'PASTE IN FPET RESULTS'!$D:$D, 'Review FPET Inputs'!N$92)</f>
        <v>0</v>
      </c>
      <c r="O77" s="724">
        <f>SUMIFS(INDEX('PASTE IN FPET RESULTS'!$A:$AB,0, MATCH('Review FPET Inputs'!$AE77, 'PASTE IN FPET RESULTS'!$A$1:$AB$1, 0)),  'PASTE IN FPET RESULTS'!$E:$E, $AC77, 'PASTE IN FPET RESULTS'!$F:$F, $AD77, 'PASTE IN FPET RESULTS'!$D:$D, 'Review FPET Inputs'!O$92)</f>
        <v>0</v>
      </c>
      <c r="P77" s="724">
        <f>SUMIFS(INDEX('PASTE IN FPET RESULTS'!$A:$AB,0, MATCH('Review FPET Inputs'!$AE77, 'PASTE IN FPET RESULTS'!$A$1:$AB$1, 0)),  'PASTE IN FPET RESULTS'!$E:$E, $AC77, 'PASTE IN FPET RESULTS'!$F:$F, $AD77, 'PASTE IN FPET RESULTS'!$D:$D, 'Review FPET Inputs'!P$92)</f>
        <v>0</v>
      </c>
      <c r="Q77" s="724">
        <f>SUMIFS(INDEX('PASTE IN FPET RESULTS'!$A:$AB,0, MATCH('Review FPET Inputs'!$AE77, 'PASTE IN FPET RESULTS'!$A$1:$AB$1, 0)),  'PASTE IN FPET RESULTS'!$E:$E, $AC77, 'PASTE IN FPET RESULTS'!$F:$F, $AD77, 'PASTE IN FPET RESULTS'!$D:$D, 'Review FPET Inputs'!Q$92)</f>
        <v>0</v>
      </c>
      <c r="R77" s="724">
        <f>SUMIFS(INDEX('PASTE IN FPET RESULTS'!$A:$AB,0, MATCH('Review FPET Inputs'!$AE77, 'PASTE IN FPET RESULTS'!$A$1:$AB$1, 0)),  'PASTE IN FPET RESULTS'!$E:$E, $AC77, 'PASTE IN FPET RESULTS'!$F:$F, $AD77, 'PASTE IN FPET RESULTS'!$D:$D, 'Review FPET Inputs'!R$92)</f>
        <v>0</v>
      </c>
      <c r="S77" s="724">
        <f>SUMIFS(INDEX('PASTE IN FPET RESULTS'!$A:$AB,0, MATCH('Review FPET Inputs'!$AE77, 'PASTE IN FPET RESULTS'!$A$1:$AB$1, 0)),  'PASTE IN FPET RESULTS'!$E:$E, $AC77, 'PASTE IN FPET RESULTS'!$F:$F, $AD77, 'PASTE IN FPET RESULTS'!$D:$D, 'Review FPET Inputs'!S$92)</f>
        <v>0</v>
      </c>
      <c r="T77" s="724">
        <f>SUMIFS(INDEX('PASTE IN FPET RESULTS'!$A:$AB,0, MATCH('Review FPET Inputs'!$AE77, 'PASTE IN FPET RESULTS'!$A$1:$AB$1, 0)),  'PASTE IN FPET RESULTS'!$E:$E, $AC77, 'PASTE IN FPET RESULTS'!$F:$F, $AD77, 'PASTE IN FPET RESULTS'!$D:$D, 'Review FPET Inputs'!T$92)</f>
        <v>0</v>
      </c>
      <c r="U77" s="724">
        <f>SUMIFS(INDEX('PASTE IN FPET RESULTS'!$A:$AB,0, MATCH('Review FPET Inputs'!$AE77, 'PASTE IN FPET RESULTS'!$A$1:$AB$1, 0)),  'PASTE IN FPET RESULTS'!$E:$E, $AC77, 'PASTE IN FPET RESULTS'!$F:$F, $AD77, 'PASTE IN FPET RESULTS'!$D:$D, 'Review FPET Inputs'!U$92)</f>
        <v>0</v>
      </c>
      <c r="V77" s="724">
        <f>SUMIFS(INDEX('PASTE IN FPET RESULTS'!$A:$AB,0, MATCH('Review FPET Inputs'!$AE77, 'PASTE IN FPET RESULTS'!$A$1:$AB$1, 0)),  'PASTE IN FPET RESULTS'!$E:$E, $AC77, 'PASTE IN FPET RESULTS'!$F:$F, $AD77, 'PASTE IN FPET RESULTS'!$D:$D, 'Review FPET Inputs'!V$92)</f>
        <v>0</v>
      </c>
      <c r="W77" s="724">
        <f>SUMIFS(INDEX('PASTE IN FPET RESULTS'!$A:$AB,0, MATCH('Review FPET Inputs'!$AE77, 'PASTE IN FPET RESULTS'!$A$1:$AB$1, 0)),  'PASTE IN FPET RESULTS'!$E:$E, $AC77, 'PASTE IN FPET RESULTS'!$F:$F, $AD77, 'PASTE IN FPET RESULTS'!$D:$D, 'Review FPET Inputs'!W$92)</f>
        <v>0</v>
      </c>
      <c r="X77" s="724">
        <f>SUMIFS(INDEX('PASTE IN FPET RESULTS'!$A:$AB,0, MATCH('Review FPET Inputs'!$AE77, 'PASTE IN FPET RESULTS'!$A$1:$AB$1, 0)),  'PASTE IN FPET RESULTS'!$E:$E, $AC77, 'PASTE IN FPET RESULTS'!$F:$F, $AD77, 'PASTE IN FPET RESULTS'!$D:$D, 'Review FPET Inputs'!X$92)</f>
        <v>0</v>
      </c>
      <c r="Y77" s="724">
        <f>SUMIFS(INDEX('PASTE IN FPET RESULTS'!$A:$AB,0, MATCH('Review FPET Inputs'!$AE77, 'PASTE IN FPET RESULTS'!$A$1:$AB$1, 0)),  'PASTE IN FPET RESULTS'!$E:$E, $AC77, 'PASTE IN FPET RESULTS'!$F:$F, $AD77, 'PASTE IN FPET RESULTS'!$D:$D, 'Review FPET Inputs'!Y$92)</f>
        <v>0</v>
      </c>
      <c r="Z77" s="724">
        <f>SUMIFS(INDEX('PASTE IN FPET RESULTS'!$A:$AB,0, MATCH('Review FPET Inputs'!$AE77, 'PASTE IN FPET RESULTS'!$A$1:$AB$1, 0)),  'PASTE IN FPET RESULTS'!$E:$E, $AC77, 'PASTE IN FPET RESULTS'!$F:$F, $AD77, 'PASTE IN FPET RESULTS'!$D:$D, 'Review FPET Inputs'!Z$92)</f>
        <v>0</v>
      </c>
      <c r="AA77" s="724">
        <f>SUMIFS(INDEX('PASTE IN FPET RESULTS'!$A:$AB,0, MATCH('Review FPET Inputs'!$AE77, 'PASTE IN FPET RESULTS'!$A$1:$AB$1, 0)),  'PASTE IN FPET RESULTS'!$E:$E, $AC77, 'PASTE IN FPET RESULTS'!$F:$F, $AD77, 'PASTE IN FPET RESULTS'!$D:$D, 'Review FPET Inputs'!AA$92)</f>
        <v>0</v>
      </c>
      <c r="AC77" s="817" t="s">
        <v>1268</v>
      </c>
      <c r="AD77" s="817" t="s">
        <v>1098</v>
      </c>
      <c r="AE77" s="817" t="s">
        <v>1097</v>
      </c>
      <c r="AF77" s="681"/>
      <c r="AG77" s="233" t="s">
        <v>997</v>
      </c>
      <c r="AH77" s="652" t="s">
        <v>707</v>
      </c>
      <c r="AI77" s="619"/>
      <c r="AJ77" s="619"/>
    </row>
    <row r="78" spans="2:36" s="9" customFormat="1" ht="7.2" customHeight="1" x14ac:dyDescent="0.3">
      <c r="D78"/>
      <c r="E78"/>
      <c r="F78"/>
      <c r="G78"/>
      <c r="H78"/>
      <c r="I78"/>
      <c r="J78"/>
      <c r="K78"/>
      <c r="L78"/>
      <c r="M78"/>
      <c r="N78"/>
      <c r="O78"/>
      <c r="P78"/>
      <c r="Q78"/>
      <c r="R78"/>
      <c r="S78"/>
      <c r="T78"/>
      <c r="U78"/>
      <c r="V78"/>
      <c r="W78"/>
      <c r="X78"/>
      <c r="Y78"/>
      <c r="Z78"/>
      <c r="AA78"/>
      <c r="AC78" s="716"/>
      <c r="AD78" s="716"/>
      <c r="AE78" s="716"/>
      <c r="AF78" s="8"/>
      <c r="AG78" s="647" t="s">
        <v>1012</v>
      </c>
      <c r="AH78" s="647" t="s">
        <v>967</v>
      </c>
    </row>
    <row r="79" spans="2:36" s="9" customFormat="1" ht="30" customHeight="1" x14ac:dyDescent="0.3">
      <c r="C79" s="832" t="str">
        <f>IF(Language="English", AG78, AH78)</f>
        <v>Lower Bound (2.5 Percentile)</v>
      </c>
      <c r="D79" s="631" t="str">
        <f>IF(Language="English", AG79, AH79)</f>
        <v>CPR among ALL women</v>
      </c>
      <c r="E79" s="315" t="s">
        <v>505</v>
      </c>
      <c r="F79" s="315">
        <v>2.5</v>
      </c>
      <c r="G79" s="631" t="s">
        <v>1015</v>
      </c>
      <c r="H79" s="631" t="str">
        <f>G79&amp;E79&amp;F79</f>
        <v>CPAW2.5</v>
      </c>
      <c r="I79" s="724">
        <f>SUMIFS(INDEX('PASTE IN FPET RESULTS'!$A:$AB,0, MATCH('Review FPET Inputs'!$AE79, 'PASTE IN FPET RESULTS'!$A$1:$AB$1, 0)),  'PASTE IN FPET RESULTS'!$E:$E, $AC79, 'PASTE IN FPET RESULTS'!$F:$F, $AD79, 'PASTE IN FPET RESULTS'!$D:$D, I$37)</f>
        <v>0</v>
      </c>
      <c r="J79" s="724">
        <f>SUMIFS(INDEX('PASTE IN FPET RESULTS'!$A:$AB,0, MATCH('Review FPET Inputs'!$AE79, 'PASTE IN FPET RESULTS'!$A$1:$AB$1, 0)),  'PASTE IN FPET RESULTS'!$E:$E, $AC79, 'PASTE IN FPET RESULTS'!$F:$F, $AD79, 'PASTE IN FPET RESULTS'!$D:$D, 'Review FPET Inputs'!J$92)</f>
        <v>0</v>
      </c>
      <c r="K79" s="724">
        <f>SUMIFS(INDEX('PASTE IN FPET RESULTS'!$A:$AB,0, MATCH('Review FPET Inputs'!$AE79, 'PASTE IN FPET RESULTS'!$A$1:$AB$1, 0)),  'PASTE IN FPET RESULTS'!$E:$E, $AC79, 'PASTE IN FPET RESULTS'!$F:$F, $AD79, 'PASTE IN FPET RESULTS'!$D:$D, 'Review FPET Inputs'!K$92)</f>
        <v>0</v>
      </c>
      <c r="L79" s="724">
        <f>SUMIFS(INDEX('PASTE IN FPET RESULTS'!$A:$AB,0, MATCH('Review FPET Inputs'!$AE79, 'PASTE IN FPET RESULTS'!$A$1:$AB$1, 0)),  'PASTE IN FPET RESULTS'!$E:$E, $AC79, 'PASTE IN FPET RESULTS'!$F:$F, $AD79, 'PASTE IN FPET RESULTS'!$D:$D, 'Review FPET Inputs'!L$92)</f>
        <v>0</v>
      </c>
      <c r="M79" s="724">
        <f>SUMIFS(INDEX('PASTE IN FPET RESULTS'!$A:$AB,0, MATCH('Review FPET Inputs'!$AE79, 'PASTE IN FPET RESULTS'!$A$1:$AB$1, 0)),  'PASTE IN FPET RESULTS'!$E:$E, $AC79, 'PASTE IN FPET RESULTS'!$F:$F, $AD79, 'PASTE IN FPET RESULTS'!$D:$D, 'Review FPET Inputs'!M$92)</f>
        <v>0</v>
      </c>
      <c r="N79" s="724">
        <f>SUMIFS(INDEX('PASTE IN FPET RESULTS'!$A:$AB,0, MATCH('Review FPET Inputs'!$AE79, 'PASTE IN FPET RESULTS'!$A$1:$AB$1, 0)),  'PASTE IN FPET RESULTS'!$E:$E, $AC79, 'PASTE IN FPET RESULTS'!$F:$F, $AD79, 'PASTE IN FPET RESULTS'!$D:$D, 'Review FPET Inputs'!N$92)</f>
        <v>0</v>
      </c>
      <c r="O79" s="724">
        <f>SUMIFS(INDEX('PASTE IN FPET RESULTS'!$A:$AB,0, MATCH('Review FPET Inputs'!$AE79, 'PASTE IN FPET RESULTS'!$A$1:$AB$1, 0)),  'PASTE IN FPET RESULTS'!$E:$E, $AC79, 'PASTE IN FPET RESULTS'!$F:$F, $AD79, 'PASTE IN FPET RESULTS'!$D:$D, 'Review FPET Inputs'!O$92)</f>
        <v>0</v>
      </c>
      <c r="P79" s="724">
        <f>SUMIFS(INDEX('PASTE IN FPET RESULTS'!$A:$AB,0, MATCH('Review FPET Inputs'!$AE79, 'PASTE IN FPET RESULTS'!$A$1:$AB$1, 0)),  'PASTE IN FPET RESULTS'!$E:$E, $AC79, 'PASTE IN FPET RESULTS'!$F:$F, $AD79, 'PASTE IN FPET RESULTS'!$D:$D, 'Review FPET Inputs'!P$92)</f>
        <v>0</v>
      </c>
      <c r="Q79" s="724">
        <f>SUMIFS(INDEX('PASTE IN FPET RESULTS'!$A:$AB,0, MATCH('Review FPET Inputs'!$AE79, 'PASTE IN FPET RESULTS'!$A$1:$AB$1, 0)),  'PASTE IN FPET RESULTS'!$E:$E, $AC79, 'PASTE IN FPET RESULTS'!$F:$F, $AD79, 'PASTE IN FPET RESULTS'!$D:$D, 'Review FPET Inputs'!Q$92)</f>
        <v>0</v>
      </c>
      <c r="R79" s="724">
        <f>SUMIFS(INDEX('PASTE IN FPET RESULTS'!$A:$AB,0, MATCH('Review FPET Inputs'!$AE79, 'PASTE IN FPET RESULTS'!$A$1:$AB$1, 0)),  'PASTE IN FPET RESULTS'!$E:$E, $AC79, 'PASTE IN FPET RESULTS'!$F:$F, $AD79, 'PASTE IN FPET RESULTS'!$D:$D, 'Review FPET Inputs'!R$92)</f>
        <v>0</v>
      </c>
      <c r="S79" s="724">
        <f>SUMIFS(INDEX('PASTE IN FPET RESULTS'!$A:$AB,0, MATCH('Review FPET Inputs'!$AE79, 'PASTE IN FPET RESULTS'!$A$1:$AB$1, 0)),  'PASTE IN FPET RESULTS'!$E:$E, $AC79, 'PASTE IN FPET RESULTS'!$F:$F, $AD79, 'PASTE IN FPET RESULTS'!$D:$D, 'Review FPET Inputs'!S$92)</f>
        <v>0</v>
      </c>
      <c r="T79" s="724">
        <f>SUMIFS(INDEX('PASTE IN FPET RESULTS'!$A:$AB,0, MATCH('Review FPET Inputs'!$AE79, 'PASTE IN FPET RESULTS'!$A$1:$AB$1, 0)),  'PASTE IN FPET RESULTS'!$E:$E, $AC79, 'PASTE IN FPET RESULTS'!$F:$F, $AD79, 'PASTE IN FPET RESULTS'!$D:$D, 'Review FPET Inputs'!T$92)</f>
        <v>0</v>
      </c>
      <c r="U79" s="724">
        <f>SUMIFS(INDEX('PASTE IN FPET RESULTS'!$A:$AB,0, MATCH('Review FPET Inputs'!$AE79, 'PASTE IN FPET RESULTS'!$A$1:$AB$1, 0)),  'PASTE IN FPET RESULTS'!$E:$E, $AC79, 'PASTE IN FPET RESULTS'!$F:$F, $AD79, 'PASTE IN FPET RESULTS'!$D:$D, 'Review FPET Inputs'!U$92)</f>
        <v>0</v>
      </c>
      <c r="V79" s="724">
        <f>SUMIFS(INDEX('PASTE IN FPET RESULTS'!$A:$AB,0, MATCH('Review FPET Inputs'!$AE79, 'PASTE IN FPET RESULTS'!$A$1:$AB$1, 0)),  'PASTE IN FPET RESULTS'!$E:$E, $AC79, 'PASTE IN FPET RESULTS'!$F:$F, $AD79, 'PASTE IN FPET RESULTS'!$D:$D, 'Review FPET Inputs'!V$92)</f>
        <v>0</v>
      </c>
      <c r="W79" s="724">
        <f>SUMIFS(INDEX('PASTE IN FPET RESULTS'!$A:$AB,0, MATCH('Review FPET Inputs'!$AE79, 'PASTE IN FPET RESULTS'!$A$1:$AB$1, 0)),  'PASTE IN FPET RESULTS'!$E:$E, $AC79, 'PASTE IN FPET RESULTS'!$F:$F, $AD79, 'PASTE IN FPET RESULTS'!$D:$D, 'Review FPET Inputs'!W$92)</f>
        <v>0</v>
      </c>
      <c r="X79" s="724">
        <f>SUMIFS(INDEX('PASTE IN FPET RESULTS'!$A:$AB,0, MATCH('Review FPET Inputs'!$AE79, 'PASTE IN FPET RESULTS'!$A$1:$AB$1, 0)),  'PASTE IN FPET RESULTS'!$E:$E, $AC79, 'PASTE IN FPET RESULTS'!$F:$F, $AD79, 'PASTE IN FPET RESULTS'!$D:$D, 'Review FPET Inputs'!X$92)</f>
        <v>0</v>
      </c>
      <c r="Y79" s="724">
        <f>SUMIFS(INDEX('PASTE IN FPET RESULTS'!$A:$AB,0, MATCH('Review FPET Inputs'!$AE79, 'PASTE IN FPET RESULTS'!$A$1:$AB$1, 0)),  'PASTE IN FPET RESULTS'!$E:$E, $AC79, 'PASTE IN FPET RESULTS'!$F:$F, $AD79, 'PASTE IN FPET RESULTS'!$D:$D, 'Review FPET Inputs'!Y$92)</f>
        <v>0</v>
      </c>
      <c r="Z79" s="724">
        <f>SUMIFS(INDEX('PASTE IN FPET RESULTS'!$A:$AB,0, MATCH('Review FPET Inputs'!$AE79, 'PASTE IN FPET RESULTS'!$A$1:$AB$1, 0)),  'PASTE IN FPET RESULTS'!$E:$E, $AC79, 'PASTE IN FPET RESULTS'!$F:$F, $AD79, 'PASTE IN FPET RESULTS'!$D:$D, 'Review FPET Inputs'!Z$92)</f>
        <v>0</v>
      </c>
      <c r="AA79" s="724">
        <f>SUMIFS(INDEX('PASTE IN FPET RESULTS'!$A:$AB,0, MATCH('Review FPET Inputs'!$AE79, 'PASTE IN FPET RESULTS'!$A$1:$AB$1, 0)),  'PASTE IN FPET RESULTS'!$E:$E, $AC79, 'PASTE IN FPET RESULTS'!$F:$F, $AD79, 'PASTE IN FPET RESULTS'!$D:$D, 'Review FPET Inputs'!AA$92)</f>
        <v>0</v>
      </c>
      <c r="AC79" s="817" t="s">
        <v>1268</v>
      </c>
      <c r="AD79" s="817">
        <v>2.5000000000000001E-2</v>
      </c>
      <c r="AE79" s="817" t="s">
        <v>1077</v>
      </c>
      <c r="AF79" s="8"/>
      <c r="AG79" s="24" t="s">
        <v>995</v>
      </c>
      <c r="AH79" s="651" t="s">
        <v>708</v>
      </c>
    </row>
    <row r="80" spans="2:36" s="9" customFormat="1" ht="30" customHeight="1" x14ac:dyDescent="0.3">
      <c r="C80" s="832"/>
      <c r="D80" s="631" t="str">
        <f>IF(Language="English", AG80, AH80)</f>
        <v>mCPR among ALL women</v>
      </c>
      <c r="E80" s="315" t="s">
        <v>505</v>
      </c>
      <c r="F80" s="315">
        <v>2.5</v>
      </c>
      <c r="G80" s="631" t="s">
        <v>1014</v>
      </c>
      <c r="H80" s="631" t="str">
        <f>G80&amp;E80&amp;F80</f>
        <v>mCPAW2.5</v>
      </c>
      <c r="I80" s="724">
        <f>SUMIFS(INDEX('PASTE IN FPET RESULTS'!$A:$AB,0, MATCH('Review FPET Inputs'!$AE80, 'PASTE IN FPET RESULTS'!$A$1:$AB$1, 0)),  'PASTE IN FPET RESULTS'!$E:$E, $AC80, 'PASTE IN FPET RESULTS'!$F:$F, $AD80, 'PASTE IN FPET RESULTS'!$D:$D, I$37)</f>
        <v>0</v>
      </c>
      <c r="J80" s="724">
        <f>SUMIFS(INDEX('PASTE IN FPET RESULTS'!$A:$AB,0, MATCH('Review FPET Inputs'!$AE80, 'PASTE IN FPET RESULTS'!$A$1:$AB$1, 0)),  'PASTE IN FPET RESULTS'!$E:$E, $AC80, 'PASTE IN FPET RESULTS'!$F:$F, $AD80, 'PASTE IN FPET RESULTS'!$D:$D, 'Review FPET Inputs'!J$92)</f>
        <v>0</v>
      </c>
      <c r="K80" s="724">
        <f>SUMIFS(INDEX('PASTE IN FPET RESULTS'!$A:$AB,0, MATCH('Review FPET Inputs'!$AE80, 'PASTE IN FPET RESULTS'!$A$1:$AB$1, 0)),  'PASTE IN FPET RESULTS'!$E:$E, $AC80, 'PASTE IN FPET RESULTS'!$F:$F, $AD80, 'PASTE IN FPET RESULTS'!$D:$D, 'Review FPET Inputs'!K$92)</f>
        <v>0</v>
      </c>
      <c r="L80" s="724">
        <f>SUMIFS(INDEX('PASTE IN FPET RESULTS'!$A:$AB,0, MATCH('Review FPET Inputs'!$AE80, 'PASTE IN FPET RESULTS'!$A$1:$AB$1, 0)),  'PASTE IN FPET RESULTS'!$E:$E, $AC80, 'PASTE IN FPET RESULTS'!$F:$F, $AD80, 'PASTE IN FPET RESULTS'!$D:$D, 'Review FPET Inputs'!L$92)</f>
        <v>0</v>
      </c>
      <c r="M80" s="724">
        <f>SUMIFS(INDEX('PASTE IN FPET RESULTS'!$A:$AB,0, MATCH('Review FPET Inputs'!$AE80, 'PASTE IN FPET RESULTS'!$A$1:$AB$1, 0)),  'PASTE IN FPET RESULTS'!$E:$E, $AC80, 'PASTE IN FPET RESULTS'!$F:$F, $AD80, 'PASTE IN FPET RESULTS'!$D:$D, 'Review FPET Inputs'!M$92)</f>
        <v>0</v>
      </c>
      <c r="N80" s="724">
        <f>SUMIFS(INDEX('PASTE IN FPET RESULTS'!$A:$AB,0, MATCH('Review FPET Inputs'!$AE80, 'PASTE IN FPET RESULTS'!$A$1:$AB$1, 0)),  'PASTE IN FPET RESULTS'!$E:$E, $AC80, 'PASTE IN FPET RESULTS'!$F:$F, $AD80, 'PASTE IN FPET RESULTS'!$D:$D, 'Review FPET Inputs'!N$92)</f>
        <v>0</v>
      </c>
      <c r="O80" s="724">
        <f>SUMIFS(INDEX('PASTE IN FPET RESULTS'!$A:$AB,0, MATCH('Review FPET Inputs'!$AE80, 'PASTE IN FPET RESULTS'!$A$1:$AB$1, 0)),  'PASTE IN FPET RESULTS'!$E:$E, $AC80, 'PASTE IN FPET RESULTS'!$F:$F, $AD80, 'PASTE IN FPET RESULTS'!$D:$D, 'Review FPET Inputs'!O$92)</f>
        <v>0</v>
      </c>
      <c r="P80" s="724">
        <f>SUMIFS(INDEX('PASTE IN FPET RESULTS'!$A:$AB,0, MATCH('Review FPET Inputs'!$AE80, 'PASTE IN FPET RESULTS'!$A$1:$AB$1, 0)),  'PASTE IN FPET RESULTS'!$E:$E, $AC80, 'PASTE IN FPET RESULTS'!$F:$F, $AD80, 'PASTE IN FPET RESULTS'!$D:$D, 'Review FPET Inputs'!P$92)</f>
        <v>0</v>
      </c>
      <c r="Q80" s="724">
        <f>SUMIFS(INDEX('PASTE IN FPET RESULTS'!$A:$AB,0, MATCH('Review FPET Inputs'!$AE80, 'PASTE IN FPET RESULTS'!$A$1:$AB$1, 0)),  'PASTE IN FPET RESULTS'!$E:$E, $AC80, 'PASTE IN FPET RESULTS'!$F:$F, $AD80, 'PASTE IN FPET RESULTS'!$D:$D, 'Review FPET Inputs'!Q$92)</f>
        <v>0</v>
      </c>
      <c r="R80" s="724">
        <f>SUMIFS(INDEX('PASTE IN FPET RESULTS'!$A:$AB,0, MATCH('Review FPET Inputs'!$AE80, 'PASTE IN FPET RESULTS'!$A$1:$AB$1, 0)),  'PASTE IN FPET RESULTS'!$E:$E, $AC80, 'PASTE IN FPET RESULTS'!$F:$F, $AD80, 'PASTE IN FPET RESULTS'!$D:$D, 'Review FPET Inputs'!R$92)</f>
        <v>0</v>
      </c>
      <c r="S80" s="724">
        <f>SUMIFS(INDEX('PASTE IN FPET RESULTS'!$A:$AB,0, MATCH('Review FPET Inputs'!$AE80, 'PASTE IN FPET RESULTS'!$A$1:$AB$1, 0)),  'PASTE IN FPET RESULTS'!$E:$E, $AC80, 'PASTE IN FPET RESULTS'!$F:$F, $AD80, 'PASTE IN FPET RESULTS'!$D:$D, 'Review FPET Inputs'!S$92)</f>
        <v>0</v>
      </c>
      <c r="T80" s="724">
        <f>SUMIFS(INDEX('PASTE IN FPET RESULTS'!$A:$AB,0, MATCH('Review FPET Inputs'!$AE80, 'PASTE IN FPET RESULTS'!$A$1:$AB$1, 0)),  'PASTE IN FPET RESULTS'!$E:$E, $AC80, 'PASTE IN FPET RESULTS'!$F:$F, $AD80, 'PASTE IN FPET RESULTS'!$D:$D, 'Review FPET Inputs'!T$92)</f>
        <v>0</v>
      </c>
      <c r="U80" s="724">
        <f>SUMIFS(INDEX('PASTE IN FPET RESULTS'!$A:$AB,0, MATCH('Review FPET Inputs'!$AE80, 'PASTE IN FPET RESULTS'!$A$1:$AB$1, 0)),  'PASTE IN FPET RESULTS'!$E:$E, $AC80, 'PASTE IN FPET RESULTS'!$F:$F, $AD80, 'PASTE IN FPET RESULTS'!$D:$D, 'Review FPET Inputs'!U$92)</f>
        <v>0</v>
      </c>
      <c r="V80" s="724">
        <f>SUMIFS(INDEX('PASTE IN FPET RESULTS'!$A:$AB,0, MATCH('Review FPET Inputs'!$AE80, 'PASTE IN FPET RESULTS'!$A$1:$AB$1, 0)),  'PASTE IN FPET RESULTS'!$E:$E, $AC80, 'PASTE IN FPET RESULTS'!$F:$F, $AD80, 'PASTE IN FPET RESULTS'!$D:$D, 'Review FPET Inputs'!V$92)</f>
        <v>0</v>
      </c>
      <c r="W80" s="724">
        <f>SUMIFS(INDEX('PASTE IN FPET RESULTS'!$A:$AB,0, MATCH('Review FPET Inputs'!$AE80, 'PASTE IN FPET RESULTS'!$A$1:$AB$1, 0)),  'PASTE IN FPET RESULTS'!$E:$E, $AC80, 'PASTE IN FPET RESULTS'!$F:$F, $AD80, 'PASTE IN FPET RESULTS'!$D:$D, 'Review FPET Inputs'!W$92)</f>
        <v>0</v>
      </c>
      <c r="X80" s="724">
        <f>SUMIFS(INDEX('PASTE IN FPET RESULTS'!$A:$AB,0, MATCH('Review FPET Inputs'!$AE80, 'PASTE IN FPET RESULTS'!$A$1:$AB$1, 0)),  'PASTE IN FPET RESULTS'!$E:$E, $AC80, 'PASTE IN FPET RESULTS'!$F:$F, $AD80, 'PASTE IN FPET RESULTS'!$D:$D, 'Review FPET Inputs'!X$92)</f>
        <v>0</v>
      </c>
      <c r="Y80" s="724">
        <f>SUMIFS(INDEX('PASTE IN FPET RESULTS'!$A:$AB,0, MATCH('Review FPET Inputs'!$AE80, 'PASTE IN FPET RESULTS'!$A$1:$AB$1, 0)),  'PASTE IN FPET RESULTS'!$E:$E, $AC80, 'PASTE IN FPET RESULTS'!$F:$F, $AD80, 'PASTE IN FPET RESULTS'!$D:$D, 'Review FPET Inputs'!Y$92)</f>
        <v>0</v>
      </c>
      <c r="Z80" s="724">
        <f>SUMIFS(INDEX('PASTE IN FPET RESULTS'!$A:$AB,0, MATCH('Review FPET Inputs'!$AE80, 'PASTE IN FPET RESULTS'!$A$1:$AB$1, 0)),  'PASTE IN FPET RESULTS'!$E:$E, $AC80, 'PASTE IN FPET RESULTS'!$F:$F, $AD80, 'PASTE IN FPET RESULTS'!$D:$D, 'Review FPET Inputs'!Z$92)</f>
        <v>0</v>
      </c>
      <c r="AA80" s="724">
        <f>SUMIFS(INDEX('PASTE IN FPET RESULTS'!$A:$AB,0, MATCH('Review FPET Inputs'!$AE80, 'PASTE IN FPET RESULTS'!$A$1:$AB$1, 0)),  'PASTE IN FPET RESULTS'!$E:$E, $AC80, 'PASTE IN FPET RESULTS'!$F:$F, $AD80, 'PASTE IN FPET RESULTS'!$D:$D, 'Review FPET Inputs'!AA$92)</f>
        <v>0</v>
      </c>
      <c r="AC80" s="817" t="s">
        <v>1268</v>
      </c>
      <c r="AD80" s="817">
        <v>2.5000000000000001E-2</v>
      </c>
      <c r="AE80" s="817" t="s">
        <v>1079</v>
      </c>
      <c r="AF80" s="8"/>
      <c r="AG80" s="650" t="s">
        <v>996</v>
      </c>
      <c r="AH80" s="651" t="s">
        <v>709</v>
      </c>
      <c r="AI80" s="619"/>
      <c r="AJ80" s="619"/>
    </row>
    <row r="81" spans="2:36" s="44" customFormat="1" ht="30" customHeight="1" x14ac:dyDescent="0.3">
      <c r="B81" s="9"/>
      <c r="C81" s="832"/>
      <c r="D81" s="631" t="str">
        <f>IF(Language="English", AG81, AH81)</f>
        <v>Demand Satisfied with modern methods (ALL)</v>
      </c>
      <c r="E81" s="315" t="s">
        <v>505</v>
      </c>
      <c r="F81" s="315">
        <v>2.5</v>
      </c>
      <c r="G81" s="631" t="s">
        <v>1016</v>
      </c>
      <c r="H81" s="631" t="str">
        <f>G81&amp;E81&amp;F81</f>
        <v>mDSAW2.5</v>
      </c>
      <c r="I81" s="724">
        <f>SUMIFS(INDEX('PASTE IN FPET RESULTS'!$A:$AB,0, MATCH('Review FPET Inputs'!$AE81, 'PASTE IN FPET RESULTS'!$A$1:$AB$1, 0)),  'PASTE IN FPET RESULTS'!$E:$E, $AC81, 'PASTE IN FPET RESULTS'!$F:$F, $AD81, 'PASTE IN FPET RESULTS'!$D:$D, I$37)</f>
        <v>0</v>
      </c>
      <c r="J81" s="724">
        <f>SUMIFS(INDEX('PASTE IN FPET RESULTS'!$A:$AB,0, MATCH('Review FPET Inputs'!$AE81, 'PASTE IN FPET RESULTS'!$A$1:$AB$1, 0)),  'PASTE IN FPET RESULTS'!$E:$E, $AC81, 'PASTE IN FPET RESULTS'!$F:$F, $AD81, 'PASTE IN FPET RESULTS'!$D:$D, 'Review FPET Inputs'!J$92)</f>
        <v>0</v>
      </c>
      <c r="K81" s="724">
        <f>SUMIFS(INDEX('PASTE IN FPET RESULTS'!$A:$AB,0, MATCH('Review FPET Inputs'!$AE81, 'PASTE IN FPET RESULTS'!$A$1:$AB$1, 0)),  'PASTE IN FPET RESULTS'!$E:$E, $AC81, 'PASTE IN FPET RESULTS'!$F:$F, $AD81, 'PASTE IN FPET RESULTS'!$D:$D, 'Review FPET Inputs'!K$92)</f>
        <v>0</v>
      </c>
      <c r="L81" s="724">
        <f>SUMIFS(INDEX('PASTE IN FPET RESULTS'!$A:$AB,0, MATCH('Review FPET Inputs'!$AE81, 'PASTE IN FPET RESULTS'!$A$1:$AB$1, 0)),  'PASTE IN FPET RESULTS'!$E:$E, $AC81, 'PASTE IN FPET RESULTS'!$F:$F, $AD81, 'PASTE IN FPET RESULTS'!$D:$D, 'Review FPET Inputs'!L$92)</f>
        <v>0</v>
      </c>
      <c r="M81" s="724">
        <f>SUMIFS(INDEX('PASTE IN FPET RESULTS'!$A:$AB,0, MATCH('Review FPET Inputs'!$AE81, 'PASTE IN FPET RESULTS'!$A$1:$AB$1, 0)),  'PASTE IN FPET RESULTS'!$E:$E, $AC81, 'PASTE IN FPET RESULTS'!$F:$F, $AD81, 'PASTE IN FPET RESULTS'!$D:$D, 'Review FPET Inputs'!M$92)</f>
        <v>0</v>
      </c>
      <c r="N81" s="724">
        <f>SUMIFS(INDEX('PASTE IN FPET RESULTS'!$A:$AB,0, MATCH('Review FPET Inputs'!$AE81, 'PASTE IN FPET RESULTS'!$A$1:$AB$1, 0)),  'PASTE IN FPET RESULTS'!$E:$E, $AC81, 'PASTE IN FPET RESULTS'!$F:$F, $AD81, 'PASTE IN FPET RESULTS'!$D:$D, 'Review FPET Inputs'!N$92)</f>
        <v>0</v>
      </c>
      <c r="O81" s="724">
        <f>SUMIFS(INDEX('PASTE IN FPET RESULTS'!$A:$AB,0, MATCH('Review FPET Inputs'!$AE81, 'PASTE IN FPET RESULTS'!$A$1:$AB$1, 0)),  'PASTE IN FPET RESULTS'!$E:$E, $AC81, 'PASTE IN FPET RESULTS'!$F:$F, $AD81, 'PASTE IN FPET RESULTS'!$D:$D, 'Review FPET Inputs'!O$92)</f>
        <v>0</v>
      </c>
      <c r="P81" s="724">
        <f>SUMIFS(INDEX('PASTE IN FPET RESULTS'!$A:$AB,0, MATCH('Review FPET Inputs'!$AE81, 'PASTE IN FPET RESULTS'!$A$1:$AB$1, 0)),  'PASTE IN FPET RESULTS'!$E:$E, $AC81, 'PASTE IN FPET RESULTS'!$F:$F, $AD81, 'PASTE IN FPET RESULTS'!$D:$D, 'Review FPET Inputs'!P$92)</f>
        <v>0</v>
      </c>
      <c r="Q81" s="724">
        <f>SUMIFS(INDEX('PASTE IN FPET RESULTS'!$A:$AB,0, MATCH('Review FPET Inputs'!$AE81, 'PASTE IN FPET RESULTS'!$A$1:$AB$1, 0)),  'PASTE IN FPET RESULTS'!$E:$E, $AC81, 'PASTE IN FPET RESULTS'!$F:$F, $AD81, 'PASTE IN FPET RESULTS'!$D:$D, 'Review FPET Inputs'!Q$92)</f>
        <v>0</v>
      </c>
      <c r="R81" s="724">
        <f>SUMIFS(INDEX('PASTE IN FPET RESULTS'!$A:$AB,0, MATCH('Review FPET Inputs'!$AE81, 'PASTE IN FPET RESULTS'!$A$1:$AB$1, 0)),  'PASTE IN FPET RESULTS'!$E:$E, $AC81, 'PASTE IN FPET RESULTS'!$F:$F, $AD81, 'PASTE IN FPET RESULTS'!$D:$D, 'Review FPET Inputs'!R$92)</f>
        <v>0</v>
      </c>
      <c r="S81" s="724">
        <f>SUMIFS(INDEX('PASTE IN FPET RESULTS'!$A:$AB,0, MATCH('Review FPET Inputs'!$AE81, 'PASTE IN FPET RESULTS'!$A$1:$AB$1, 0)),  'PASTE IN FPET RESULTS'!$E:$E, $AC81, 'PASTE IN FPET RESULTS'!$F:$F, $AD81, 'PASTE IN FPET RESULTS'!$D:$D, 'Review FPET Inputs'!S$92)</f>
        <v>0</v>
      </c>
      <c r="T81" s="724">
        <f>SUMIFS(INDEX('PASTE IN FPET RESULTS'!$A:$AB,0, MATCH('Review FPET Inputs'!$AE81, 'PASTE IN FPET RESULTS'!$A$1:$AB$1, 0)),  'PASTE IN FPET RESULTS'!$E:$E, $AC81, 'PASTE IN FPET RESULTS'!$F:$F, $AD81, 'PASTE IN FPET RESULTS'!$D:$D, 'Review FPET Inputs'!T$92)</f>
        <v>0</v>
      </c>
      <c r="U81" s="724">
        <f>SUMIFS(INDEX('PASTE IN FPET RESULTS'!$A:$AB,0, MATCH('Review FPET Inputs'!$AE81, 'PASTE IN FPET RESULTS'!$A$1:$AB$1, 0)),  'PASTE IN FPET RESULTS'!$E:$E, $AC81, 'PASTE IN FPET RESULTS'!$F:$F, $AD81, 'PASTE IN FPET RESULTS'!$D:$D, 'Review FPET Inputs'!U$92)</f>
        <v>0</v>
      </c>
      <c r="V81" s="724">
        <f>SUMIFS(INDEX('PASTE IN FPET RESULTS'!$A:$AB,0, MATCH('Review FPET Inputs'!$AE81, 'PASTE IN FPET RESULTS'!$A$1:$AB$1, 0)),  'PASTE IN FPET RESULTS'!$E:$E, $AC81, 'PASTE IN FPET RESULTS'!$F:$F, $AD81, 'PASTE IN FPET RESULTS'!$D:$D, 'Review FPET Inputs'!V$92)</f>
        <v>0</v>
      </c>
      <c r="W81" s="724">
        <f>SUMIFS(INDEX('PASTE IN FPET RESULTS'!$A:$AB,0, MATCH('Review FPET Inputs'!$AE81, 'PASTE IN FPET RESULTS'!$A$1:$AB$1, 0)),  'PASTE IN FPET RESULTS'!$E:$E, $AC81, 'PASTE IN FPET RESULTS'!$F:$F, $AD81, 'PASTE IN FPET RESULTS'!$D:$D, 'Review FPET Inputs'!W$92)</f>
        <v>0</v>
      </c>
      <c r="X81" s="724">
        <f>SUMIFS(INDEX('PASTE IN FPET RESULTS'!$A:$AB,0, MATCH('Review FPET Inputs'!$AE81, 'PASTE IN FPET RESULTS'!$A$1:$AB$1, 0)),  'PASTE IN FPET RESULTS'!$E:$E, $AC81, 'PASTE IN FPET RESULTS'!$F:$F, $AD81, 'PASTE IN FPET RESULTS'!$D:$D, 'Review FPET Inputs'!X$92)</f>
        <v>0</v>
      </c>
      <c r="Y81" s="724">
        <f>SUMIFS(INDEX('PASTE IN FPET RESULTS'!$A:$AB,0, MATCH('Review FPET Inputs'!$AE81, 'PASTE IN FPET RESULTS'!$A$1:$AB$1, 0)),  'PASTE IN FPET RESULTS'!$E:$E, $AC81, 'PASTE IN FPET RESULTS'!$F:$F, $AD81, 'PASTE IN FPET RESULTS'!$D:$D, 'Review FPET Inputs'!Y$92)</f>
        <v>0</v>
      </c>
      <c r="Z81" s="724">
        <f>SUMIFS(INDEX('PASTE IN FPET RESULTS'!$A:$AB,0, MATCH('Review FPET Inputs'!$AE81, 'PASTE IN FPET RESULTS'!$A$1:$AB$1, 0)),  'PASTE IN FPET RESULTS'!$E:$E, $AC81, 'PASTE IN FPET RESULTS'!$F:$F, $AD81, 'PASTE IN FPET RESULTS'!$D:$D, 'Review FPET Inputs'!Z$92)</f>
        <v>0</v>
      </c>
      <c r="AA81" s="724">
        <f>SUMIFS(INDEX('PASTE IN FPET RESULTS'!$A:$AB,0, MATCH('Review FPET Inputs'!$AE81, 'PASTE IN FPET RESULTS'!$A$1:$AB$1, 0)),  'PASTE IN FPET RESULTS'!$E:$E, $AC81, 'PASTE IN FPET RESULTS'!$F:$F, $AD81, 'PASTE IN FPET RESULTS'!$D:$D, 'Review FPET Inputs'!AA$92)</f>
        <v>0</v>
      </c>
      <c r="AC81" s="817" t="s">
        <v>1268</v>
      </c>
      <c r="AD81" s="817">
        <v>2.5000000000000001E-2</v>
      </c>
      <c r="AE81" s="817" t="s">
        <v>1089</v>
      </c>
      <c r="AF81" s="681"/>
      <c r="AG81" s="233" t="s">
        <v>998</v>
      </c>
      <c r="AH81" s="652" t="s">
        <v>999</v>
      </c>
      <c r="AI81" s="619"/>
      <c r="AJ81" s="619"/>
    </row>
    <row r="82" spans="2:36" s="44" customFormat="1" ht="30" customHeight="1" x14ac:dyDescent="0.3">
      <c r="B82" s="9"/>
      <c r="C82" s="832"/>
      <c r="D82" s="631" t="str">
        <f>IF(Language="English", AG82, AH82)</f>
        <v>Unmet need for modern methods (ALL)</v>
      </c>
      <c r="E82" s="315" t="s">
        <v>505</v>
      </c>
      <c r="F82" s="315">
        <v>2.5</v>
      </c>
      <c r="G82" s="631" t="s">
        <v>1017</v>
      </c>
      <c r="H82" s="631" t="str">
        <f>G82&amp;E82&amp;F82</f>
        <v>mUNAW2.5</v>
      </c>
      <c r="I82" s="724">
        <f>SUMIFS(INDEX('PASTE IN FPET RESULTS'!$A:$AB,0, MATCH('Review FPET Inputs'!$AE82, 'PASTE IN FPET RESULTS'!$A$1:$AB$1, 0)),  'PASTE IN FPET RESULTS'!$E:$E, $AC82, 'PASTE IN FPET RESULTS'!$F:$F, $AD82, 'PASTE IN FPET RESULTS'!$D:$D, I$37)</f>
        <v>0</v>
      </c>
      <c r="J82" s="724">
        <f>SUMIFS(INDEX('PASTE IN FPET RESULTS'!$A:$AB,0, MATCH('Review FPET Inputs'!$AE82, 'PASTE IN FPET RESULTS'!$A$1:$AB$1, 0)),  'PASTE IN FPET RESULTS'!$E:$E, $AC82, 'PASTE IN FPET RESULTS'!$F:$F, $AD82, 'PASTE IN FPET RESULTS'!$D:$D, 'Review FPET Inputs'!J$92)</f>
        <v>0</v>
      </c>
      <c r="K82" s="724">
        <f>SUMIFS(INDEX('PASTE IN FPET RESULTS'!$A:$AB,0, MATCH('Review FPET Inputs'!$AE82, 'PASTE IN FPET RESULTS'!$A$1:$AB$1, 0)),  'PASTE IN FPET RESULTS'!$E:$E, $AC82, 'PASTE IN FPET RESULTS'!$F:$F, $AD82, 'PASTE IN FPET RESULTS'!$D:$D, 'Review FPET Inputs'!K$92)</f>
        <v>0</v>
      </c>
      <c r="L82" s="724">
        <f>SUMIFS(INDEX('PASTE IN FPET RESULTS'!$A:$AB,0, MATCH('Review FPET Inputs'!$AE82, 'PASTE IN FPET RESULTS'!$A$1:$AB$1, 0)),  'PASTE IN FPET RESULTS'!$E:$E, $AC82, 'PASTE IN FPET RESULTS'!$F:$F, $AD82, 'PASTE IN FPET RESULTS'!$D:$D, 'Review FPET Inputs'!L$92)</f>
        <v>0</v>
      </c>
      <c r="M82" s="724">
        <f>SUMIFS(INDEX('PASTE IN FPET RESULTS'!$A:$AB,0, MATCH('Review FPET Inputs'!$AE82, 'PASTE IN FPET RESULTS'!$A$1:$AB$1, 0)),  'PASTE IN FPET RESULTS'!$E:$E, $AC82, 'PASTE IN FPET RESULTS'!$F:$F, $AD82, 'PASTE IN FPET RESULTS'!$D:$D, 'Review FPET Inputs'!M$92)</f>
        <v>0</v>
      </c>
      <c r="N82" s="724">
        <f>SUMIFS(INDEX('PASTE IN FPET RESULTS'!$A:$AB,0, MATCH('Review FPET Inputs'!$AE82, 'PASTE IN FPET RESULTS'!$A$1:$AB$1, 0)),  'PASTE IN FPET RESULTS'!$E:$E, $AC82, 'PASTE IN FPET RESULTS'!$F:$F, $AD82, 'PASTE IN FPET RESULTS'!$D:$D, 'Review FPET Inputs'!N$92)</f>
        <v>0</v>
      </c>
      <c r="O82" s="724">
        <f>SUMIFS(INDEX('PASTE IN FPET RESULTS'!$A:$AB,0, MATCH('Review FPET Inputs'!$AE82, 'PASTE IN FPET RESULTS'!$A$1:$AB$1, 0)),  'PASTE IN FPET RESULTS'!$E:$E, $AC82, 'PASTE IN FPET RESULTS'!$F:$F, $AD82, 'PASTE IN FPET RESULTS'!$D:$D, 'Review FPET Inputs'!O$92)</f>
        <v>0</v>
      </c>
      <c r="P82" s="724">
        <f>SUMIFS(INDEX('PASTE IN FPET RESULTS'!$A:$AB,0, MATCH('Review FPET Inputs'!$AE82, 'PASTE IN FPET RESULTS'!$A$1:$AB$1, 0)),  'PASTE IN FPET RESULTS'!$E:$E, $AC82, 'PASTE IN FPET RESULTS'!$F:$F, $AD82, 'PASTE IN FPET RESULTS'!$D:$D, 'Review FPET Inputs'!P$92)</f>
        <v>0</v>
      </c>
      <c r="Q82" s="724">
        <f>SUMIFS(INDEX('PASTE IN FPET RESULTS'!$A:$AB,0, MATCH('Review FPET Inputs'!$AE82, 'PASTE IN FPET RESULTS'!$A$1:$AB$1, 0)),  'PASTE IN FPET RESULTS'!$E:$E, $AC82, 'PASTE IN FPET RESULTS'!$F:$F, $AD82, 'PASTE IN FPET RESULTS'!$D:$D, 'Review FPET Inputs'!Q$92)</f>
        <v>0</v>
      </c>
      <c r="R82" s="724">
        <f>SUMIFS(INDEX('PASTE IN FPET RESULTS'!$A:$AB,0, MATCH('Review FPET Inputs'!$AE82, 'PASTE IN FPET RESULTS'!$A$1:$AB$1, 0)),  'PASTE IN FPET RESULTS'!$E:$E, $AC82, 'PASTE IN FPET RESULTS'!$F:$F, $AD82, 'PASTE IN FPET RESULTS'!$D:$D, 'Review FPET Inputs'!R$92)</f>
        <v>0</v>
      </c>
      <c r="S82" s="724">
        <f>SUMIFS(INDEX('PASTE IN FPET RESULTS'!$A:$AB,0, MATCH('Review FPET Inputs'!$AE82, 'PASTE IN FPET RESULTS'!$A$1:$AB$1, 0)),  'PASTE IN FPET RESULTS'!$E:$E, $AC82, 'PASTE IN FPET RESULTS'!$F:$F, $AD82, 'PASTE IN FPET RESULTS'!$D:$D, 'Review FPET Inputs'!S$92)</f>
        <v>0</v>
      </c>
      <c r="T82" s="724">
        <f>SUMIFS(INDEX('PASTE IN FPET RESULTS'!$A:$AB,0, MATCH('Review FPET Inputs'!$AE82, 'PASTE IN FPET RESULTS'!$A$1:$AB$1, 0)),  'PASTE IN FPET RESULTS'!$E:$E, $AC82, 'PASTE IN FPET RESULTS'!$F:$F, $AD82, 'PASTE IN FPET RESULTS'!$D:$D, 'Review FPET Inputs'!T$92)</f>
        <v>0</v>
      </c>
      <c r="U82" s="724">
        <f>SUMIFS(INDEX('PASTE IN FPET RESULTS'!$A:$AB,0, MATCH('Review FPET Inputs'!$AE82, 'PASTE IN FPET RESULTS'!$A$1:$AB$1, 0)),  'PASTE IN FPET RESULTS'!$E:$E, $AC82, 'PASTE IN FPET RESULTS'!$F:$F, $AD82, 'PASTE IN FPET RESULTS'!$D:$D, 'Review FPET Inputs'!U$92)</f>
        <v>0</v>
      </c>
      <c r="V82" s="724">
        <f>SUMIFS(INDEX('PASTE IN FPET RESULTS'!$A:$AB,0, MATCH('Review FPET Inputs'!$AE82, 'PASTE IN FPET RESULTS'!$A$1:$AB$1, 0)),  'PASTE IN FPET RESULTS'!$E:$E, $AC82, 'PASTE IN FPET RESULTS'!$F:$F, $AD82, 'PASTE IN FPET RESULTS'!$D:$D, 'Review FPET Inputs'!V$92)</f>
        <v>0</v>
      </c>
      <c r="W82" s="724">
        <f>SUMIFS(INDEX('PASTE IN FPET RESULTS'!$A:$AB,0, MATCH('Review FPET Inputs'!$AE82, 'PASTE IN FPET RESULTS'!$A$1:$AB$1, 0)),  'PASTE IN FPET RESULTS'!$E:$E, $AC82, 'PASTE IN FPET RESULTS'!$F:$F, $AD82, 'PASTE IN FPET RESULTS'!$D:$D, 'Review FPET Inputs'!W$92)</f>
        <v>0</v>
      </c>
      <c r="X82" s="724">
        <f>SUMIFS(INDEX('PASTE IN FPET RESULTS'!$A:$AB,0, MATCH('Review FPET Inputs'!$AE82, 'PASTE IN FPET RESULTS'!$A$1:$AB$1, 0)),  'PASTE IN FPET RESULTS'!$E:$E, $AC82, 'PASTE IN FPET RESULTS'!$F:$F, $AD82, 'PASTE IN FPET RESULTS'!$D:$D, 'Review FPET Inputs'!X$92)</f>
        <v>0</v>
      </c>
      <c r="Y82" s="724">
        <f>SUMIFS(INDEX('PASTE IN FPET RESULTS'!$A:$AB,0, MATCH('Review FPET Inputs'!$AE82, 'PASTE IN FPET RESULTS'!$A$1:$AB$1, 0)),  'PASTE IN FPET RESULTS'!$E:$E, $AC82, 'PASTE IN FPET RESULTS'!$F:$F, $AD82, 'PASTE IN FPET RESULTS'!$D:$D, 'Review FPET Inputs'!Y$92)</f>
        <v>0</v>
      </c>
      <c r="Z82" s="724">
        <f>SUMIFS(INDEX('PASTE IN FPET RESULTS'!$A:$AB,0, MATCH('Review FPET Inputs'!$AE82, 'PASTE IN FPET RESULTS'!$A$1:$AB$1, 0)),  'PASTE IN FPET RESULTS'!$E:$E, $AC82, 'PASTE IN FPET RESULTS'!$F:$F, $AD82, 'PASTE IN FPET RESULTS'!$D:$D, 'Review FPET Inputs'!Z$92)</f>
        <v>0</v>
      </c>
      <c r="AA82" s="724">
        <f>SUMIFS(INDEX('PASTE IN FPET RESULTS'!$A:$AB,0, MATCH('Review FPET Inputs'!$AE82, 'PASTE IN FPET RESULTS'!$A$1:$AB$1, 0)),  'PASTE IN FPET RESULTS'!$E:$E, $AC82, 'PASTE IN FPET RESULTS'!$F:$F, $AD82, 'PASTE IN FPET RESULTS'!$D:$D, 'Review FPET Inputs'!AA$92)</f>
        <v>0</v>
      </c>
      <c r="AC82" s="817" t="s">
        <v>1268</v>
      </c>
      <c r="AD82" s="817">
        <v>2.5000000000000001E-2</v>
      </c>
      <c r="AE82" s="817" t="s">
        <v>1097</v>
      </c>
      <c r="AF82" s="681"/>
      <c r="AG82" s="233" t="s">
        <v>997</v>
      </c>
      <c r="AH82" s="652" t="s">
        <v>707</v>
      </c>
      <c r="AI82" s="619"/>
      <c r="AJ82" s="619"/>
    </row>
    <row r="83" spans="2:36" s="9" customFormat="1" ht="7.2" customHeight="1" x14ac:dyDescent="0.3">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C83" s="716"/>
      <c r="AD83" s="716"/>
      <c r="AE83" s="716"/>
      <c r="AF83" s="8"/>
      <c r="AG83" s="647" t="s">
        <v>1013</v>
      </c>
      <c r="AH83" s="647" t="s">
        <v>968</v>
      </c>
    </row>
    <row r="84" spans="2:36" s="9" customFormat="1" ht="30" customHeight="1" x14ac:dyDescent="0.3">
      <c r="C84" s="832" t="str">
        <f>IF(Language="English", AG83, AH83)</f>
        <v>Upper Bound (97.5 Percentile)</v>
      </c>
      <c r="D84" s="631" t="str">
        <f>IF(Language="English", AG84, AH84)</f>
        <v>CPR among ALL women</v>
      </c>
      <c r="E84" s="315" t="s">
        <v>505</v>
      </c>
      <c r="F84" s="315">
        <v>97.5</v>
      </c>
      <c r="G84" s="631" t="s">
        <v>1015</v>
      </c>
      <c r="H84" s="631" t="str">
        <f>G84&amp;E84&amp;F84</f>
        <v>CPAW97.5</v>
      </c>
      <c r="I84" s="724">
        <f>SUMIFS(INDEX('PASTE IN FPET RESULTS'!$A:$AB,0, MATCH('Review FPET Inputs'!$AE84, 'PASTE IN FPET RESULTS'!$A$1:$AB$1, 0)),  'PASTE IN FPET RESULTS'!$E:$E, $AC84, 'PASTE IN FPET RESULTS'!$F:$F, $AD84, 'PASTE IN FPET RESULTS'!$D:$D, I$37)</f>
        <v>0</v>
      </c>
      <c r="J84" s="724">
        <f>SUMIFS(INDEX('PASTE IN FPET RESULTS'!$A:$AB,0, MATCH('Review FPET Inputs'!$AE84, 'PASTE IN FPET RESULTS'!$A$1:$AB$1, 0)),  'PASTE IN FPET RESULTS'!$E:$E, $AC84, 'PASTE IN FPET RESULTS'!$F:$F, $AD84, 'PASTE IN FPET RESULTS'!$D:$D, 'Review FPET Inputs'!J$92)</f>
        <v>0</v>
      </c>
      <c r="K84" s="724">
        <f>SUMIFS(INDEX('PASTE IN FPET RESULTS'!$A:$AB,0, MATCH('Review FPET Inputs'!$AE84, 'PASTE IN FPET RESULTS'!$A$1:$AB$1, 0)),  'PASTE IN FPET RESULTS'!$E:$E, $AC84, 'PASTE IN FPET RESULTS'!$F:$F, $AD84, 'PASTE IN FPET RESULTS'!$D:$D, 'Review FPET Inputs'!K$92)</f>
        <v>0</v>
      </c>
      <c r="L84" s="724">
        <f>SUMIFS(INDEX('PASTE IN FPET RESULTS'!$A:$AB,0, MATCH('Review FPET Inputs'!$AE84, 'PASTE IN FPET RESULTS'!$A$1:$AB$1, 0)),  'PASTE IN FPET RESULTS'!$E:$E, $AC84, 'PASTE IN FPET RESULTS'!$F:$F, $AD84, 'PASTE IN FPET RESULTS'!$D:$D, 'Review FPET Inputs'!L$92)</f>
        <v>0</v>
      </c>
      <c r="M84" s="724">
        <f>SUMIFS(INDEX('PASTE IN FPET RESULTS'!$A:$AB,0, MATCH('Review FPET Inputs'!$AE84, 'PASTE IN FPET RESULTS'!$A$1:$AB$1, 0)),  'PASTE IN FPET RESULTS'!$E:$E, $AC84, 'PASTE IN FPET RESULTS'!$F:$F, $AD84, 'PASTE IN FPET RESULTS'!$D:$D, 'Review FPET Inputs'!M$92)</f>
        <v>0</v>
      </c>
      <c r="N84" s="724">
        <f>SUMIFS(INDEX('PASTE IN FPET RESULTS'!$A:$AB,0, MATCH('Review FPET Inputs'!$AE84, 'PASTE IN FPET RESULTS'!$A$1:$AB$1, 0)),  'PASTE IN FPET RESULTS'!$E:$E, $AC84, 'PASTE IN FPET RESULTS'!$F:$F, $AD84, 'PASTE IN FPET RESULTS'!$D:$D, 'Review FPET Inputs'!N$92)</f>
        <v>0</v>
      </c>
      <c r="O84" s="724">
        <f>SUMIFS(INDEX('PASTE IN FPET RESULTS'!$A:$AB,0, MATCH('Review FPET Inputs'!$AE84, 'PASTE IN FPET RESULTS'!$A$1:$AB$1, 0)),  'PASTE IN FPET RESULTS'!$E:$E, $AC84, 'PASTE IN FPET RESULTS'!$F:$F, $AD84, 'PASTE IN FPET RESULTS'!$D:$D, 'Review FPET Inputs'!O$92)</f>
        <v>0</v>
      </c>
      <c r="P84" s="724">
        <f>SUMIFS(INDEX('PASTE IN FPET RESULTS'!$A:$AB,0, MATCH('Review FPET Inputs'!$AE84, 'PASTE IN FPET RESULTS'!$A$1:$AB$1, 0)),  'PASTE IN FPET RESULTS'!$E:$E, $AC84, 'PASTE IN FPET RESULTS'!$F:$F, $AD84, 'PASTE IN FPET RESULTS'!$D:$D, 'Review FPET Inputs'!P$92)</f>
        <v>0</v>
      </c>
      <c r="Q84" s="724">
        <f>SUMIFS(INDEX('PASTE IN FPET RESULTS'!$A:$AB,0, MATCH('Review FPET Inputs'!$AE84, 'PASTE IN FPET RESULTS'!$A$1:$AB$1, 0)),  'PASTE IN FPET RESULTS'!$E:$E, $AC84, 'PASTE IN FPET RESULTS'!$F:$F, $AD84, 'PASTE IN FPET RESULTS'!$D:$D, 'Review FPET Inputs'!Q$92)</f>
        <v>0</v>
      </c>
      <c r="R84" s="724">
        <f>SUMIFS(INDEX('PASTE IN FPET RESULTS'!$A:$AB,0, MATCH('Review FPET Inputs'!$AE84, 'PASTE IN FPET RESULTS'!$A$1:$AB$1, 0)),  'PASTE IN FPET RESULTS'!$E:$E, $AC84, 'PASTE IN FPET RESULTS'!$F:$F, $AD84, 'PASTE IN FPET RESULTS'!$D:$D, 'Review FPET Inputs'!R$92)</f>
        <v>0</v>
      </c>
      <c r="S84" s="724">
        <f>SUMIFS(INDEX('PASTE IN FPET RESULTS'!$A:$AB,0, MATCH('Review FPET Inputs'!$AE84, 'PASTE IN FPET RESULTS'!$A$1:$AB$1, 0)),  'PASTE IN FPET RESULTS'!$E:$E, $AC84, 'PASTE IN FPET RESULTS'!$F:$F, $AD84, 'PASTE IN FPET RESULTS'!$D:$D, 'Review FPET Inputs'!S$92)</f>
        <v>0</v>
      </c>
      <c r="T84" s="724">
        <f>SUMIFS(INDEX('PASTE IN FPET RESULTS'!$A:$AB,0, MATCH('Review FPET Inputs'!$AE84, 'PASTE IN FPET RESULTS'!$A$1:$AB$1, 0)),  'PASTE IN FPET RESULTS'!$E:$E, $AC84, 'PASTE IN FPET RESULTS'!$F:$F, $AD84, 'PASTE IN FPET RESULTS'!$D:$D, 'Review FPET Inputs'!T$92)</f>
        <v>0</v>
      </c>
      <c r="U84" s="724">
        <f>SUMIFS(INDEX('PASTE IN FPET RESULTS'!$A:$AB,0, MATCH('Review FPET Inputs'!$AE84, 'PASTE IN FPET RESULTS'!$A$1:$AB$1, 0)),  'PASTE IN FPET RESULTS'!$E:$E, $AC84, 'PASTE IN FPET RESULTS'!$F:$F, $AD84, 'PASTE IN FPET RESULTS'!$D:$D, 'Review FPET Inputs'!U$92)</f>
        <v>0</v>
      </c>
      <c r="V84" s="724">
        <f>SUMIFS(INDEX('PASTE IN FPET RESULTS'!$A:$AB,0, MATCH('Review FPET Inputs'!$AE84, 'PASTE IN FPET RESULTS'!$A$1:$AB$1, 0)),  'PASTE IN FPET RESULTS'!$E:$E, $AC84, 'PASTE IN FPET RESULTS'!$F:$F, $AD84, 'PASTE IN FPET RESULTS'!$D:$D, 'Review FPET Inputs'!V$92)</f>
        <v>0</v>
      </c>
      <c r="W84" s="724">
        <f>SUMIFS(INDEX('PASTE IN FPET RESULTS'!$A:$AB,0, MATCH('Review FPET Inputs'!$AE84, 'PASTE IN FPET RESULTS'!$A$1:$AB$1, 0)),  'PASTE IN FPET RESULTS'!$E:$E, $AC84, 'PASTE IN FPET RESULTS'!$F:$F, $AD84, 'PASTE IN FPET RESULTS'!$D:$D, 'Review FPET Inputs'!W$92)</f>
        <v>0</v>
      </c>
      <c r="X84" s="724">
        <f>SUMIFS(INDEX('PASTE IN FPET RESULTS'!$A:$AB,0, MATCH('Review FPET Inputs'!$AE84, 'PASTE IN FPET RESULTS'!$A$1:$AB$1, 0)),  'PASTE IN FPET RESULTS'!$E:$E, $AC84, 'PASTE IN FPET RESULTS'!$F:$F, $AD84, 'PASTE IN FPET RESULTS'!$D:$D, 'Review FPET Inputs'!X$92)</f>
        <v>0</v>
      </c>
      <c r="Y84" s="724">
        <f>SUMIFS(INDEX('PASTE IN FPET RESULTS'!$A:$AB,0, MATCH('Review FPET Inputs'!$AE84, 'PASTE IN FPET RESULTS'!$A$1:$AB$1, 0)),  'PASTE IN FPET RESULTS'!$E:$E, $AC84, 'PASTE IN FPET RESULTS'!$F:$F, $AD84, 'PASTE IN FPET RESULTS'!$D:$D, 'Review FPET Inputs'!Y$92)</f>
        <v>0</v>
      </c>
      <c r="Z84" s="724">
        <f>SUMIFS(INDEX('PASTE IN FPET RESULTS'!$A:$AB,0, MATCH('Review FPET Inputs'!$AE84, 'PASTE IN FPET RESULTS'!$A$1:$AB$1, 0)),  'PASTE IN FPET RESULTS'!$E:$E, $AC84, 'PASTE IN FPET RESULTS'!$F:$F, $AD84, 'PASTE IN FPET RESULTS'!$D:$D, 'Review FPET Inputs'!Z$92)</f>
        <v>0</v>
      </c>
      <c r="AA84" s="724">
        <f>SUMIFS(INDEX('PASTE IN FPET RESULTS'!$A:$AB,0, MATCH('Review FPET Inputs'!$AE84, 'PASTE IN FPET RESULTS'!$A$1:$AB$1, 0)),  'PASTE IN FPET RESULTS'!$E:$E, $AC84, 'PASTE IN FPET RESULTS'!$F:$F, $AD84, 'PASTE IN FPET RESULTS'!$D:$D, 'Review FPET Inputs'!AA$92)</f>
        <v>0</v>
      </c>
      <c r="AC84" s="817" t="s">
        <v>1268</v>
      </c>
      <c r="AD84" s="817">
        <v>0.97499999999999998</v>
      </c>
      <c r="AE84" s="817" t="s">
        <v>1077</v>
      </c>
      <c r="AF84" s="8"/>
      <c r="AG84" s="24" t="s">
        <v>995</v>
      </c>
      <c r="AH84" s="651" t="s">
        <v>708</v>
      </c>
    </row>
    <row r="85" spans="2:36" s="9" customFormat="1" ht="30" customHeight="1" x14ac:dyDescent="0.3">
      <c r="C85" s="832"/>
      <c r="D85" s="631" t="str">
        <f>IF(Language="English", AG85, AH85)</f>
        <v>mCPR among ALL women</v>
      </c>
      <c r="E85" s="315" t="s">
        <v>505</v>
      </c>
      <c r="F85" s="315">
        <v>97.5</v>
      </c>
      <c r="G85" s="631" t="s">
        <v>1014</v>
      </c>
      <c r="H85" s="631" t="str">
        <f>G85&amp;E85&amp;F85</f>
        <v>mCPAW97.5</v>
      </c>
      <c r="I85" s="724">
        <f>SUMIFS(INDEX('PASTE IN FPET RESULTS'!$A:$AB,0, MATCH('Review FPET Inputs'!$AE85, 'PASTE IN FPET RESULTS'!$A$1:$AB$1, 0)),  'PASTE IN FPET RESULTS'!$E:$E, $AC85, 'PASTE IN FPET RESULTS'!$F:$F, $AD85, 'PASTE IN FPET RESULTS'!$D:$D, I$37)</f>
        <v>0</v>
      </c>
      <c r="J85" s="724">
        <f>SUMIFS(INDEX('PASTE IN FPET RESULTS'!$A:$AB,0, MATCH('Review FPET Inputs'!$AE85, 'PASTE IN FPET RESULTS'!$A$1:$AB$1, 0)),  'PASTE IN FPET RESULTS'!$E:$E, $AC85, 'PASTE IN FPET RESULTS'!$F:$F, $AD85, 'PASTE IN FPET RESULTS'!$D:$D, 'Review FPET Inputs'!J$92)</f>
        <v>0</v>
      </c>
      <c r="K85" s="724">
        <f>SUMIFS(INDEX('PASTE IN FPET RESULTS'!$A:$AB,0, MATCH('Review FPET Inputs'!$AE85, 'PASTE IN FPET RESULTS'!$A$1:$AB$1, 0)),  'PASTE IN FPET RESULTS'!$E:$E, $AC85, 'PASTE IN FPET RESULTS'!$F:$F, $AD85, 'PASTE IN FPET RESULTS'!$D:$D, 'Review FPET Inputs'!K$92)</f>
        <v>0</v>
      </c>
      <c r="L85" s="724">
        <f>SUMIFS(INDEX('PASTE IN FPET RESULTS'!$A:$AB,0, MATCH('Review FPET Inputs'!$AE85, 'PASTE IN FPET RESULTS'!$A$1:$AB$1, 0)),  'PASTE IN FPET RESULTS'!$E:$E, $AC85, 'PASTE IN FPET RESULTS'!$F:$F, $AD85, 'PASTE IN FPET RESULTS'!$D:$D, 'Review FPET Inputs'!L$92)</f>
        <v>0</v>
      </c>
      <c r="M85" s="724">
        <f>SUMIFS(INDEX('PASTE IN FPET RESULTS'!$A:$AB,0, MATCH('Review FPET Inputs'!$AE85, 'PASTE IN FPET RESULTS'!$A$1:$AB$1, 0)),  'PASTE IN FPET RESULTS'!$E:$E, $AC85, 'PASTE IN FPET RESULTS'!$F:$F, $AD85, 'PASTE IN FPET RESULTS'!$D:$D, 'Review FPET Inputs'!M$92)</f>
        <v>0</v>
      </c>
      <c r="N85" s="724">
        <f>SUMIFS(INDEX('PASTE IN FPET RESULTS'!$A:$AB,0, MATCH('Review FPET Inputs'!$AE85, 'PASTE IN FPET RESULTS'!$A$1:$AB$1, 0)),  'PASTE IN FPET RESULTS'!$E:$E, $AC85, 'PASTE IN FPET RESULTS'!$F:$F, $AD85, 'PASTE IN FPET RESULTS'!$D:$D, 'Review FPET Inputs'!N$92)</f>
        <v>0</v>
      </c>
      <c r="O85" s="724">
        <f>SUMIFS(INDEX('PASTE IN FPET RESULTS'!$A:$AB,0, MATCH('Review FPET Inputs'!$AE85, 'PASTE IN FPET RESULTS'!$A$1:$AB$1, 0)),  'PASTE IN FPET RESULTS'!$E:$E, $AC85, 'PASTE IN FPET RESULTS'!$F:$F, $AD85, 'PASTE IN FPET RESULTS'!$D:$D, 'Review FPET Inputs'!O$92)</f>
        <v>0</v>
      </c>
      <c r="P85" s="724">
        <f>SUMIFS(INDEX('PASTE IN FPET RESULTS'!$A:$AB,0, MATCH('Review FPET Inputs'!$AE85, 'PASTE IN FPET RESULTS'!$A$1:$AB$1, 0)),  'PASTE IN FPET RESULTS'!$E:$E, $AC85, 'PASTE IN FPET RESULTS'!$F:$F, $AD85, 'PASTE IN FPET RESULTS'!$D:$D, 'Review FPET Inputs'!P$92)</f>
        <v>0</v>
      </c>
      <c r="Q85" s="724">
        <f>SUMIFS(INDEX('PASTE IN FPET RESULTS'!$A:$AB,0, MATCH('Review FPET Inputs'!$AE85, 'PASTE IN FPET RESULTS'!$A$1:$AB$1, 0)),  'PASTE IN FPET RESULTS'!$E:$E, $AC85, 'PASTE IN FPET RESULTS'!$F:$F, $AD85, 'PASTE IN FPET RESULTS'!$D:$D, 'Review FPET Inputs'!Q$92)</f>
        <v>0</v>
      </c>
      <c r="R85" s="724">
        <f>SUMIFS(INDEX('PASTE IN FPET RESULTS'!$A:$AB,0, MATCH('Review FPET Inputs'!$AE85, 'PASTE IN FPET RESULTS'!$A$1:$AB$1, 0)),  'PASTE IN FPET RESULTS'!$E:$E, $AC85, 'PASTE IN FPET RESULTS'!$F:$F, $AD85, 'PASTE IN FPET RESULTS'!$D:$D, 'Review FPET Inputs'!R$92)</f>
        <v>0</v>
      </c>
      <c r="S85" s="724">
        <f>SUMIFS(INDEX('PASTE IN FPET RESULTS'!$A:$AB,0, MATCH('Review FPET Inputs'!$AE85, 'PASTE IN FPET RESULTS'!$A$1:$AB$1, 0)),  'PASTE IN FPET RESULTS'!$E:$E, $AC85, 'PASTE IN FPET RESULTS'!$F:$F, $AD85, 'PASTE IN FPET RESULTS'!$D:$D, 'Review FPET Inputs'!S$92)</f>
        <v>0</v>
      </c>
      <c r="T85" s="724">
        <f>SUMIFS(INDEX('PASTE IN FPET RESULTS'!$A:$AB,0, MATCH('Review FPET Inputs'!$AE85, 'PASTE IN FPET RESULTS'!$A$1:$AB$1, 0)),  'PASTE IN FPET RESULTS'!$E:$E, $AC85, 'PASTE IN FPET RESULTS'!$F:$F, $AD85, 'PASTE IN FPET RESULTS'!$D:$D, 'Review FPET Inputs'!T$92)</f>
        <v>0</v>
      </c>
      <c r="U85" s="724">
        <f>SUMIFS(INDEX('PASTE IN FPET RESULTS'!$A:$AB,0, MATCH('Review FPET Inputs'!$AE85, 'PASTE IN FPET RESULTS'!$A$1:$AB$1, 0)),  'PASTE IN FPET RESULTS'!$E:$E, $AC85, 'PASTE IN FPET RESULTS'!$F:$F, $AD85, 'PASTE IN FPET RESULTS'!$D:$D, 'Review FPET Inputs'!U$92)</f>
        <v>0</v>
      </c>
      <c r="V85" s="724">
        <f>SUMIFS(INDEX('PASTE IN FPET RESULTS'!$A:$AB,0, MATCH('Review FPET Inputs'!$AE85, 'PASTE IN FPET RESULTS'!$A$1:$AB$1, 0)),  'PASTE IN FPET RESULTS'!$E:$E, $AC85, 'PASTE IN FPET RESULTS'!$F:$F, $AD85, 'PASTE IN FPET RESULTS'!$D:$D, 'Review FPET Inputs'!V$92)</f>
        <v>0</v>
      </c>
      <c r="W85" s="724">
        <f>SUMIFS(INDEX('PASTE IN FPET RESULTS'!$A:$AB,0, MATCH('Review FPET Inputs'!$AE85, 'PASTE IN FPET RESULTS'!$A$1:$AB$1, 0)),  'PASTE IN FPET RESULTS'!$E:$E, $AC85, 'PASTE IN FPET RESULTS'!$F:$F, $AD85, 'PASTE IN FPET RESULTS'!$D:$D, 'Review FPET Inputs'!W$92)</f>
        <v>0</v>
      </c>
      <c r="X85" s="724">
        <f>SUMIFS(INDEX('PASTE IN FPET RESULTS'!$A:$AB,0, MATCH('Review FPET Inputs'!$AE85, 'PASTE IN FPET RESULTS'!$A$1:$AB$1, 0)),  'PASTE IN FPET RESULTS'!$E:$E, $AC85, 'PASTE IN FPET RESULTS'!$F:$F, $AD85, 'PASTE IN FPET RESULTS'!$D:$D, 'Review FPET Inputs'!X$92)</f>
        <v>0</v>
      </c>
      <c r="Y85" s="724">
        <f>SUMIFS(INDEX('PASTE IN FPET RESULTS'!$A:$AB,0, MATCH('Review FPET Inputs'!$AE85, 'PASTE IN FPET RESULTS'!$A$1:$AB$1, 0)),  'PASTE IN FPET RESULTS'!$E:$E, $AC85, 'PASTE IN FPET RESULTS'!$F:$F, $AD85, 'PASTE IN FPET RESULTS'!$D:$D, 'Review FPET Inputs'!Y$92)</f>
        <v>0</v>
      </c>
      <c r="Z85" s="724">
        <f>SUMIFS(INDEX('PASTE IN FPET RESULTS'!$A:$AB,0, MATCH('Review FPET Inputs'!$AE85, 'PASTE IN FPET RESULTS'!$A$1:$AB$1, 0)),  'PASTE IN FPET RESULTS'!$E:$E, $AC85, 'PASTE IN FPET RESULTS'!$F:$F, $AD85, 'PASTE IN FPET RESULTS'!$D:$D, 'Review FPET Inputs'!Z$92)</f>
        <v>0</v>
      </c>
      <c r="AA85" s="724">
        <f>SUMIFS(INDEX('PASTE IN FPET RESULTS'!$A:$AB,0, MATCH('Review FPET Inputs'!$AE85, 'PASTE IN FPET RESULTS'!$A$1:$AB$1, 0)),  'PASTE IN FPET RESULTS'!$E:$E, $AC85, 'PASTE IN FPET RESULTS'!$F:$F, $AD85, 'PASTE IN FPET RESULTS'!$D:$D, 'Review FPET Inputs'!AA$92)</f>
        <v>0</v>
      </c>
      <c r="AC85" s="817" t="s">
        <v>1268</v>
      </c>
      <c r="AD85" s="817">
        <v>0.97499999999999998</v>
      </c>
      <c r="AE85" s="817" t="s">
        <v>1079</v>
      </c>
      <c r="AF85" s="8"/>
      <c r="AG85" s="650" t="s">
        <v>996</v>
      </c>
      <c r="AH85" s="651" t="s">
        <v>709</v>
      </c>
      <c r="AI85" s="619"/>
      <c r="AJ85" s="619"/>
    </row>
    <row r="86" spans="2:36" s="44" customFormat="1" ht="30" customHeight="1" x14ac:dyDescent="0.3">
      <c r="B86" s="9"/>
      <c r="C86" s="832"/>
      <c r="D86" s="631" t="str">
        <f>IF(Language="English", AG86, AH86)</f>
        <v>Demand Satisfied with modern methods (ALL)</v>
      </c>
      <c r="E86" s="315" t="s">
        <v>505</v>
      </c>
      <c r="F86" s="315">
        <v>97.5</v>
      </c>
      <c r="G86" s="631" t="s">
        <v>1016</v>
      </c>
      <c r="H86" s="631" t="str">
        <f>G86&amp;E86&amp;F86</f>
        <v>mDSAW97.5</v>
      </c>
      <c r="I86" s="724">
        <f>SUMIFS(INDEX('PASTE IN FPET RESULTS'!$A:$AB,0, MATCH('Review FPET Inputs'!$AE86, 'PASTE IN FPET RESULTS'!$A$1:$AB$1, 0)),  'PASTE IN FPET RESULTS'!$E:$E, $AC86, 'PASTE IN FPET RESULTS'!$F:$F, $AD86, 'PASTE IN FPET RESULTS'!$D:$D, I$37)</f>
        <v>0</v>
      </c>
      <c r="J86" s="724">
        <f>SUMIFS(INDEX('PASTE IN FPET RESULTS'!$A:$AB,0, MATCH('Review FPET Inputs'!$AE86, 'PASTE IN FPET RESULTS'!$A$1:$AB$1, 0)),  'PASTE IN FPET RESULTS'!$E:$E, $AC86, 'PASTE IN FPET RESULTS'!$F:$F, $AD86, 'PASTE IN FPET RESULTS'!$D:$D, 'Review FPET Inputs'!J$92)</f>
        <v>0</v>
      </c>
      <c r="K86" s="724">
        <f>SUMIFS(INDEX('PASTE IN FPET RESULTS'!$A:$AB,0, MATCH('Review FPET Inputs'!$AE86, 'PASTE IN FPET RESULTS'!$A$1:$AB$1, 0)),  'PASTE IN FPET RESULTS'!$E:$E, $AC86, 'PASTE IN FPET RESULTS'!$F:$F, $AD86, 'PASTE IN FPET RESULTS'!$D:$D, 'Review FPET Inputs'!K$92)</f>
        <v>0</v>
      </c>
      <c r="L86" s="724">
        <f>SUMIFS(INDEX('PASTE IN FPET RESULTS'!$A:$AB,0, MATCH('Review FPET Inputs'!$AE86, 'PASTE IN FPET RESULTS'!$A$1:$AB$1, 0)),  'PASTE IN FPET RESULTS'!$E:$E, $AC86, 'PASTE IN FPET RESULTS'!$F:$F, $AD86, 'PASTE IN FPET RESULTS'!$D:$D, 'Review FPET Inputs'!L$92)</f>
        <v>0</v>
      </c>
      <c r="M86" s="724">
        <f>SUMIFS(INDEX('PASTE IN FPET RESULTS'!$A:$AB,0, MATCH('Review FPET Inputs'!$AE86, 'PASTE IN FPET RESULTS'!$A$1:$AB$1, 0)),  'PASTE IN FPET RESULTS'!$E:$E, $AC86, 'PASTE IN FPET RESULTS'!$F:$F, $AD86, 'PASTE IN FPET RESULTS'!$D:$D, 'Review FPET Inputs'!M$92)</f>
        <v>0</v>
      </c>
      <c r="N86" s="724">
        <f>SUMIFS(INDEX('PASTE IN FPET RESULTS'!$A:$AB,0, MATCH('Review FPET Inputs'!$AE86, 'PASTE IN FPET RESULTS'!$A$1:$AB$1, 0)),  'PASTE IN FPET RESULTS'!$E:$E, $AC86, 'PASTE IN FPET RESULTS'!$F:$F, $AD86, 'PASTE IN FPET RESULTS'!$D:$D, 'Review FPET Inputs'!N$92)</f>
        <v>0</v>
      </c>
      <c r="O86" s="724">
        <f>SUMIFS(INDEX('PASTE IN FPET RESULTS'!$A:$AB,0, MATCH('Review FPET Inputs'!$AE86, 'PASTE IN FPET RESULTS'!$A$1:$AB$1, 0)),  'PASTE IN FPET RESULTS'!$E:$E, $AC86, 'PASTE IN FPET RESULTS'!$F:$F, $AD86, 'PASTE IN FPET RESULTS'!$D:$D, 'Review FPET Inputs'!O$92)</f>
        <v>0</v>
      </c>
      <c r="P86" s="724">
        <f>SUMIFS(INDEX('PASTE IN FPET RESULTS'!$A:$AB,0, MATCH('Review FPET Inputs'!$AE86, 'PASTE IN FPET RESULTS'!$A$1:$AB$1, 0)),  'PASTE IN FPET RESULTS'!$E:$E, $AC86, 'PASTE IN FPET RESULTS'!$F:$F, $AD86, 'PASTE IN FPET RESULTS'!$D:$D, 'Review FPET Inputs'!P$92)</f>
        <v>0</v>
      </c>
      <c r="Q86" s="724">
        <f>SUMIFS(INDEX('PASTE IN FPET RESULTS'!$A:$AB,0, MATCH('Review FPET Inputs'!$AE86, 'PASTE IN FPET RESULTS'!$A$1:$AB$1, 0)),  'PASTE IN FPET RESULTS'!$E:$E, $AC86, 'PASTE IN FPET RESULTS'!$F:$F, $AD86, 'PASTE IN FPET RESULTS'!$D:$D, 'Review FPET Inputs'!Q$92)</f>
        <v>0</v>
      </c>
      <c r="R86" s="724">
        <f>SUMIFS(INDEX('PASTE IN FPET RESULTS'!$A:$AB,0, MATCH('Review FPET Inputs'!$AE86, 'PASTE IN FPET RESULTS'!$A$1:$AB$1, 0)),  'PASTE IN FPET RESULTS'!$E:$E, $AC86, 'PASTE IN FPET RESULTS'!$F:$F, $AD86, 'PASTE IN FPET RESULTS'!$D:$D, 'Review FPET Inputs'!R$92)</f>
        <v>0</v>
      </c>
      <c r="S86" s="724">
        <f>SUMIFS(INDEX('PASTE IN FPET RESULTS'!$A:$AB,0, MATCH('Review FPET Inputs'!$AE86, 'PASTE IN FPET RESULTS'!$A$1:$AB$1, 0)),  'PASTE IN FPET RESULTS'!$E:$E, $AC86, 'PASTE IN FPET RESULTS'!$F:$F, $AD86, 'PASTE IN FPET RESULTS'!$D:$D, 'Review FPET Inputs'!S$92)</f>
        <v>0</v>
      </c>
      <c r="T86" s="724">
        <f>SUMIFS(INDEX('PASTE IN FPET RESULTS'!$A:$AB,0, MATCH('Review FPET Inputs'!$AE86, 'PASTE IN FPET RESULTS'!$A$1:$AB$1, 0)),  'PASTE IN FPET RESULTS'!$E:$E, $AC86, 'PASTE IN FPET RESULTS'!$F:$F, $AD86, 'PASTE IN FPET RESULTS'!$D:$D, 'Review FPET Inputs'!T$92)</f>
        <v>0</v>
      </c>
      <c r="U86" s="724">
        <f>SUMIFS(INDEX('PASTE IN FPET RESULTS'!$A:$AB,0, MATCH('Review FPET Inputs'!$AE86, 'PASTE IN FPET RESULTS'!$A$1:$AB$1, 0)),  'PASTE IN FPET RESULTS'!$E:$E, $AC86, 'PASTE IN FPET RESULTS'!$F:$F, $AD86, 'PASTE IN FPET RESULTS'!$D:$D, 'Review FPET Inputs'!U$92)</f>
        <v>0</v>
      </c>
      <c r="V86" s="724">
        <f>SUMIFS(INDEX('PASTE IN FPET RESULTS'!$A:$AB,0, MATCH('Review FPET Inputs'!$AE86, 'PASTE IN FPET RESULTS'!$A$1:$AB$1, 0)),  'PASTE IN FPET RESULTS'!$E:$E, $AC86, 'PASTE IN FPET RESULTS'!$F:$F, $AD86, 'PASTE IN FPET RESULTS'!$D:$D, 'Review FPET Inputs'!V$92)</f>
        <v>0</v>
      </c>
      <c r="W86" s="724">
        <f>SUMIFS(INDEX('PASTE IN FPET RESULTS'!$A:$AB,0, MATCH('Review FPET Inputs'!$AE86, 'PASTE IN FPET RESULTS'!$A$1:$AB$1, 0)),  'PASTE IN FPET RESULTS'!$E:$E, $AC86, 'PASTE IN FPET RESULTS'!$F:$F, $AD86, 'PASTE IN FPET RESULTS'!$D:$D, 'Review FPET Inputs'!W$92)</f>
        <v>0</v>
      </c>
      <c r="X86" s="724">
        <f>SUMIFS(INDEX('PASTE IN FPET RESULTS'!$A:$AB,0, MATCH('Review FPET Inputs'!$AE86, 'PASTE IN FPET RESULTS'!$A$1:$AB$1, 0)),  'PASTE IN FPET RESULTS'!$E:$E, $AC86, 'PASTE IN FPET RESULTS'!$F:$F, $AD86, 'PASTE IN FPET RESULTS'!$D:$D, 'Review FPET Inputs'!X$92)</f>
        <v>0</v>
      </c>
      <c r="Y86" s="724">
        <f>SUMIFS(INDEX('PASTE IN FPET RESULTS'!$A:$AB,0, MATCH('Review FPET Inputs'!$AE86, 'PASTE IN FPET RESULTS'!$A$1:$AB$1, 0)),  'PASTE IN FPET RESULTS'!$E:$E, $AC86, 'PASTE IN FPET RESULTS'!$F:$F, $AD86, 'PASTE IN FPET RESULTS'!$D:$D, 'Review FPET Inputs'!Y$92)</f>
        <v>0</v>
      </c>
      <c r="Z86" s="724">
        <f>SUMIFS(INDEX('PASTE IN FPET RESULTS'!$A:$AB,0, MATCH('Review FPET Inputs'!$AE86, 'PASTE IN FPET RESULTS'!$A$1:$AB$1, 0)),  'PASTE IN FPET RESULTS'!$E:$E, $AC86, 'PASTE IN FPET RESULTS'!$F:$F, $AD86, 'PASTE IN FPET RESULTS'!$D:$D, 'Review FPET Inputs'!Z$92)</f>
        <v>0</v>
      </c>
      <c r="AA86" s="724">
        <f>SUMIFS(INDEX('PASTE IN FPET RESULTS'!$A:$AB,0, MATCH('Review FPET Inputs'!$AE86, 'PASTE IN FPET RESULTS'!$A$1:$AB$1, 0)),  'PASTE IN FPET RESULTS'!$E:$E, $AC86, 'PASTE IN FPET RESULTS'!$F:$F, $AD86, 'PASTE IN FPET RESULTS'!$D:$D, 'Review FPET Inputs'!AA$92)</f>
        <v>0</v>
      </c>
      <c r="AC86" s="817" t="s">
        <v>1268</v>
      </c>
      <c r="AD86" s="817">
        <v>0.97499999999999998</v>
      </c>
      <c r="AE86" s="817" t="s">
        <v>1089</v>
      </c>
      <c r="AF86" s="681"/>
      <c r="AG86" s="233" t="s">
        <v>998</v>
      </c>
      <c r="AH86" s="652" t="s">
        <v>999</v>
      </c>
      <c r="AI86" s="619"/>
      <c r="AJ86" s="619"/>
    </row>
    <row r="87" spans="2:36" s="44" customFormat="1" ht="30" customHeight="1" x14ac:dyDescent="0.3">
      <c r="B87" s="9"/>
      <c r="C87" s="832"/>
      <c r="D87" s="631" t="str">
        <f>IF(Language="English", AG87, AH87)</f>
        <v>Unmet need for modern methods (ALL)</v>
      </c>
      <c r="E87" s="315" t="s">
        <v>505</v>
      </c>
      <c r="F87" s="315">
        <v>97.5</v>
      </c>
      <c r="G87" s="631" t="s">
        <v>1017</v>
      </c>
      <c r="H87" s="631" t="str">
        <f>G87&amp;E87&amp;F87</f>
        <v>mUNAW97.5</v>
      </c>
      <c r="I87" s="724">
        <f>SUMIFS(INDEX('PASTE IN FPET RESULTS'!$A:$AB,0, MATCH('Review FPET Inputs'!$AE87, 'PASTE IN FPET RESULTS'!$A$1:$AB$1, 0)),  'PASTE IN FPET RESULTS'!$E:$E, $AC87, 'PASTE IN FPET RESULTS'!$F:$F, $AD87, 'PASTE IN FPET RESULTS'!$D:$D, I$37)</f>
        <v>0</v>
      </c>
      <c r="J87" s="724">
        <f>SUMIFS(INDEX('PASTE IN FPET RESULTS'!$A:$AB,0, MATCH('Review FPET Inputs'!$AE87, 'PASTE IN FPET RESULTS'!$A$1:$AB$1, 0)),  'PASTE IN FPET RESULTS'!$E:$E, $AC87, 'PASTE IN FPET RESULTS'!$F:$F, $AD87, 'PASTE IN FPET RESULTS'!$D:$D, 'Review FPET Inputs'!J$92)</f>
        <v>0</v>
      </c>
      <c r="K87" s="724">
        <f>SUMIFS(INDEX('PASTE IN FPET RESULTS'!$A:$AB,0, MATCH('Review FPET Inputs'!$AE87, 'PASTE IN FPET RESULTS'!$A$1:$AB$1, 0)),  'PASTE IN FPET RESULTS'!$E:$E, $AC87, 'PASTE IN FPET RESULTS'!$F:$F, $AD87, 'PASTE IN FPET RESULTS'!$D:$D, 'Review FPET Inputs'!K$92)</f>
        <v>0</v>
      </c>
      <c r="L87" s="724">
        <f>SUMIFS(INDEX('PASTE IN FPET RESULTS'!$A:$AB,0, MATCH('Review FPET Inputs'!$AE87, 'PASTE IN FPET RESULTS'!$A$1:$AB$1, 0)),  'PASTE IN FPET RESULTS'!$E:$E, $AC87, 'PASTE IN FPET RESULTS'!$F:$F, $AD87, 'PASTE IN FPET RESULTS'!$D:$D, 'Review FPET Inputs'!L$92)</f>
        <v>0</v>
      </c>
      <c r="M87" s="724">
        <f>SUMIFS(INDEX('PASTE IN FPET RESULTS'!$A:$AB,0, MATCH('Review FPET Inputs'!$AE87, 'PASTE IN FPET RESULTS'!$A$1:$AB$1, 0)),  'PASTE IN FPET RESULTS'!$E:$E, $AC87, 'PASTE IN FPET RESULTS'!$F:$F, $AD87, 'PASTE IN FPET RESULTS'!$D:$D, 'Review FPET Inputs'!M$92)</f>
        <v>0</v>
      </c>
      <c r="N87" s="724">
        <f>SUMIFS(INDEX('PASTE IN FPET RESULTS'!$A:$AB,0, MATCH('Review FPET Inputs'!$AE87, 'PASTE IN FPET RESULTS'!$A$1:$AB$1, 0)),  'PASTE IN FPET RESULTS'!$E:$E, $AC87, 'PASTE IN FPET RESULTS'!$F:$F, $AD87, 'PASTE IN FPET RESULTS'!$D:$D, 'Review FPET Inputs'!N$92)</f>
        <v>0</v>
      </c>
      <c r="O87" s="724">
        <f>SUMIFS(INDEX('PASTE IN FPET RESULTS'!$A:$AB,0, MATCH('Review FPET Inputs'!$AE87, 'PASTE IN FPET RESULTS'!$A$1:$AB$1, 0)),  'PASTE IN FPET RESULTS'!$E:$E, $AC87, 'PASTE IN FPET RESULTS'!$F:$F, $AD87, 'PASTE IN FPET RESULTS'!$D:$D, 'Review FPET Inputs'!O$92)</f>
        <v>0</v>
      </c>
      <c r="P87" s="724">
        <f>SUMIFS(INDEX('PASTE IN FPET RESULTS'!$A:$AB,0, MATCH('Review FPET Inputs'!$AE87, 'PASTE IN FPET RESULTS'!$A$1:$AB$1, 0)),  'PASTE IN FPET RESULTS'!$E:$E, $AC87, 'PASTE IN FPET RESULTS'!$F:$F, $AD87, 'PASTE IN FPET RESULTS'!$D:$D, 'Review FPET Inputs'!P$92)</f>
        <v>0</v>
      </c>
      <c r="Q87" s="724">
        <f>SUMIFS(INDEX('PASTE IN FPET RESULTS'!$A:$AB,0, MATCH('Review FPET Inputs'!$AE87, 'PASTE IN FPET RESULTS'!$A$1:$AB$1, 0)),  'PASTE IN FPET RESULTS'!$E:$E, $AC87, 'PASTE IN FPET RESULTS'!$F:$F, $AD87, 'PASTE IN FPET RESULTS'!$D:$D, 'Review FPET Inputs'!Q$92)</f>
        <v>0</v>
      </c>
      <c r="R87" s="724">
        <f>SUMIFS(INDEX('PASTE IN FPET RESULTS'!$A:$AB,0, MATCH('Review FPET Inputs'!$AE87, 'PASTE IN FPET RESULTS'!$A$1:$AB$1, 0)),  'PASTE IN FPET RESULTS'!$E:$E, $AC87, 'PASTE IN FPET RESULTS'!$F:$F, $AD87, 'PASTE IN FPET RESULTS'!$D:$D, 'Review FPET Inputs'!R$92)</f>
        <v>0</v>
      </c>
      <c r="S87" s="724">
        <f>SUMIFS(INDEX('PASTE IN FPET RESULTS'!$A:$AB,0, MATCH('Review FPET Inputs'!$AE87, 'PASTE IN FPET RESULTS'!$A$1:$AB$1, 0)),  'PASTE IN FPET RESULTS'!$E:$E, $AC87, 'PASTE IN FPET RESULTS'!$F:$F, $AD87, 'PASTE IN FPET RESULTS'!$D:$D, 'Review FPET Inputs'!S$92)</f>
        <v>0</v>
      </c>
      <c r="T87" s="724">
        <f>SUMIFS(INDEX('PASTE IN FPET RESULTS'!$A:$AB,0, MATCH('Review FPET Inputs'!$AE87, 'PASTE IN FPET RESULTS'!$A$1:$AB$1, 0)),  'PASTE IN FPET RESULTS'!$E:$E, $AC87, 'PASTE IN FPET RESULTS'!$F:$F, $AD87, 'PASTE IN FPET RESULTS'!$D:$D, 'Review FPET Inputs'!T$92)</f>
        <v>0</v>
      </c>
      <c r="U87" s="724">
        <f>SUMIFS(INDEX('PASTE IN FPET RESULTS'!$A:$AB,0, MATCH('Review FPET Inputs'!$AE87, 'PASTE IN FPET RESULTS'!$A$1:$AB$1, 0)),  'PASTE IN FPET RESULTS'!$E:$E, $AC87, 'PASTE IN FPET RESULTS'!$F:$F, $AD87, 'PASTE IN FPET RESULTS'!$D:$D, 'Review FPET Inputs'!U$92)</f>
        <v>0</v>
      </c>
      <c r="V87" s="724">
        <f>SUMIFS(INDEX('PASTE IN FPET RESULTS'!$A:$AB,0, MATCH('Review FPET Inputs'!$AE87, 'PASTE IN FPET RESULTS'!$A$1:$AB$1, 0)),  'PASTE IN FPET RESULTS'!$E:$E, $AC87, 'PASTE IN FPET RESULTS'!$F:$F, $AD87, 'PASTE IN FPET RESULTS'!$D:$D, 'Review FPET Inputs'!V$92)</f>
        <v>0</v>
      </c>
      <c r="W87" s="724">
        <f>SUMIFS(INDEX('PASTE IN FPET RESULTS'!$A:$AB,0, MATCH('Review FPET Inputs'!$AE87, 'PASTE IN FPET RESULTS'!$A$1:$AB$1, 0)),  'PASTE IN FPET RESULTS'!$E:$E, $AC87, 'PASTE IN FPET RESULTS'!$F:$F, $AD87, 'PASTE IN FPET RESULTS'!$D:$D, 'Review FPET Inputs'!W$92)</f>
        <v>0</v>
      </c>
      <c r="X87" s="724">
        <f>SUMIFS(INDEX('PASTE IN FPET RESULTS'!$A:$AB,0, MATCH('Review FPET Inputs'!$AE87, 'PASTE IN FPET RESULTS'!$A$1:$AB$1, 0)),  'PASTE IN FPET RESULTS'!$E:$E, $AC87, 'PASTE IN FPET RESULTS'!$F:$F, $AD87, 'PASTE IN FPET RESULTS'!$D:$D, 'Review FPET Inputs'!X$92)</f>
        <v>0</v>
      </c>
      <c r="Y87" s="724">
        <f>SUMIFS(INDEX('PASTE IN FPET RESULTS'!$A:$AB,0, MATCH('Review FPET Inputs'!$AE87, 'PASTE IN FPET RESULTS'!$A$1:$AB$1, 0)),  'PASTE IN FPET RESULTS'!$E:$E, $AC87, 'PASTE IN FPET RESULTS'!$F:$F, $AD87, 'PASTE IN FPET RESULTS'!$D:$D, 'Review FPET Inputs'!Y$92)</f>
        <v>0</v>
      </c>
      <c r="Z87" s="724">
        <f>SUMIFS(INDEX('PASTE IN FPET RESULTS'!$A:$AB,0, MATCH('Review FPET Inputs'!$AE87, 'PASTE IN FPET RESULTS'!$A$1:$AB$1, 0)),  'PASTE IN FPET RESULTS'!$E:$E, $AC87, 'PASTE IN FPET RESULTS'!$F:$F, $AD87, 'PASTE IN FPET RESULTS'!$D:$D, 'Review FPET Inputs'!Z$92)</f>
        <v>0</v>
      </c>
      <c r="AA87" s="724">
        <f>SUMIFS(INDEX('PASTE IN FPET RESULTS'!$A:$AB,0, MATCH('Review FPET Inputs'!$AE87, 'PASTE IN FPET RESULTS'!$A$1:$AB$1, 0)),  'PASTE IN FPET RESULTS'!$E:$E, $AC87, 'PASTE IN FPET RESULTS'!$F:$F, $AD87, 'PASTE IN FPET RESULTS'!$D:$D, 'Review FPET Inputs'!AA$92)</f>
        <v>0</v>
      </c>
      <c r="AC87" s="817" t="s">
        <v>1268</v>
      </c>
      <c r="AD87" s="817">
        <v>0.97499999999999998</v>
      </c>
      <c r="AE87" s="817" t="s">
        <v>1097</v>
      </c>
      <c r="AF87" s="681"/>
      <c r="AG87" s="233" t="s">
        <v>997</v>
      </c>
      <c r="AH87" s="652" t="s">
        <v>707</v>
      </c>
      <c r="AI87" s="619"/>
      <c r="AJ87" s="619"/>
    </row>
    <row r="88" spans="2:36" s="9" customFormat="1" ht="8.25" customHeight="1" x14ac:dyDescent="0.3">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C88" s="716"/>
      <c r="AD88" s="716"/>
      <c r="AE88" s="716"/>
      <c r="AF88" s="8"/>
      <c r="AG88" s="645"/>
      <c r="AH88" s="648"/>
      <c r="AI88" s="10"/>
    </row>
    <row r="89" spans="2:36" ht="15" thickBot="1" x14ac:dyDescent="0.35">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C89" s="716"/>
      <c r="AD89" s="716"/>
      <c r="AE89" s="716"/>
      <c r="AF89" s="8"/>
    </row>
    <row r="90" spans="2:36" s="716" customFormat="1" ht="22.2" customHeight="1" thickBot="1" x14ac:dyDescent="0.45">
      <c r="B90" s="362" t="str">
        <f>IF(Language=English, AG90, AH90)&amp; " (2012 - 2030)"</f>
        <v>3: Traditional Method Results &amp; Uncertainty Intervals (2012 - 2030)</v>
      </c>
      <c r="C90" s="57"/>
      <c r="D90" s="57"/>
      <c r="E90" s="57"/>
      <c r="F90" s="57"/>
      <c r="G90" s="57"/>
      <c r="H90" s="57"/>
      <c r="I90" s="57"/>
      <c r="J90" s="57"/>
      <c r="K90" s="842"/>
      <c r="L90" s="842"/>
      <c r="M90" s="842"/>
      <c r="N90" s="842"/>
      <c r="O90" s="842"/>
      <c r="P90" s="842"/>
      <c r="Q90" s="842"/>
      <c r="R90" s="842"/>
      <c r="S90" s="842"/>
      <c r="T90" s="842"/>
      <c r="U90" s="842"/>
      <c r="V90" s="842"/>
      <c r="W90" s="842"/>
      <c r="X90" s="842"/>
      <c r="Y90" s="842"/>
      <c r="Z90" s="842"/>
      <c r="AA90" s="842"/>
      <c r="AB90" s="843"/>
      <c r="AC90" s="823"/>
      <c r="AD90" s="823"/>
      <c r="AE90" s="823"/>
      <c r="AF90" s="696"/>
      <c r="AG90" s="644" t="s">
        <v>1069</v>
      </c>
      <c r="AH90" s="644" t="s">
        <v>1070</v>
      </c>
    </row>
    <row r="91" spans="2:36" s="44" customFormat="1" ht="21" x14ac:dyDescent="0.3">
      <c r="B91" s="839" t="str">
        <f>IF(Language=English, AG91, AH91)</f>
        <v xml:space="preserve">If Traditional Prevalence from FPET for all women in the current year is 5% or greater, please include the Traditional Method Use results below. Otherwise you can skip this step. </v>
      </c>
      <c r="C91" s="840"/>
      <c r="D91" s="840"/>
      <c r="E91" s="840"/>
      <c r="F91" s="840"/>
      <c r="G91" s="840"/>
      <c r="H91" s="840"/>
      <c r="I91" s="840"/>
      <c r="J91" s="840"/>
      <c r="K91" s="840"/>
      <c r="L91" s="840"/>
      <c r="M91" s="840"/>
      <c r="N91" s="840"/>
      <c r="O91" s="840"/>
      <c r="P91" s="840"/>
      <c r="Q91" s="840"/>
      <c r="R91" s="840"/>
      <c r="S91" s="840"/>
      <c r="T91" s="840"/>
      <c r="U91" s="840"/>
      <c r="V91" s="840"/>
      <c r="W91" s="840"/>
      <c r="X91" s="840"/>
      <c r="Y91" s="840"/>
      <c r="Z91" s="840"/>
      <c r="AA91" s="840"/>
      <c r="AB91" s="841"/>
      <c r="AC91" s="825"/>
      <c r="AD91" s="825"/>
      <c r="AE91" s="825"/>
      <c r="AF91" s="710">
        <f>IF(R74-R75&gt;0.0496, 1, 0)</f>
        <v>0</v>
      </c>
      <c r="AG91" s="250" t="s">
        <v>1056</v>
      </c>
      <c r="AH91" s="720" t="s">
        <v>1248</v>
      </c>
    </row>
    <row r="92" spans="2:36" s="9" customFormat="1" ht="18.600000000000001" customHeight="1" x14ac:dyDescent="0.3">
      <c r="E92" s="22"/>
      <c r="F92" s="22"/>
      <c r="G92" s="22"/>
      <c r="H92" s="22"/>
      <c r="I92" s="557">
        <v>2012</v>
      </c>
      <c r="J92" s="557">
        <v>2013</v>
      </c>
      <c r="K92" s="557">
        <v>2014</v>
      </c>
      <c r="L92" s="557">
        <v>2015</v>
      </c>
      <c r="M92" s="557">
        <v>2016</v>
      </c>
      <c r="N92" s="557">
        <v>2017</v>
      </c>
      <c r="O92" s="557">
        <v>2018</v>
      </c>
      <c r="P92" s="557">
        <v>2019</v>
      </c>
      <c r="Q92" s="557">
        <v>2020</v>
      </c>
      <c r="R92" s="557">
        <v>2021</v>
      </c>
      <c r="S92" s="557">
        <v>2022</v>
      </c>
      <c r="T92" s="557">
        <v>2023</v>
      </c>
      <c r="U92" s="557">
        <v>2024</v>
      </c>
      <c r="V92" s="557">
        <v>2025</v>
      </c>
      <c r="W92" s="557">
        <v>2026</v>
      </c>
      <c r="X92" s="557">
        <v>2027</v>
      </c>
      <c r="Y92" s="557">
        <v>2028</v>
      </c>
      <c r="Z92" s="557">
        <v>2029</v>
      </c>
      <c r="AA92" s="557">
        <v>2030</v>
      </c>
      <c r="AC92" s="716" t="s">
        <v>1100</v>
      </c>
      <c r="AD92" s="716"/>
      <c r="AE92" s="716"/>
      <c r="AF92" s="8"/>
      <c r="AG92" s="649" t="s">
        <v>972</v>
      </c>
      <c r="AH92" s="649" t="s">
        <v>971</v>
      </c>
    </row>
    <row r="93" spans="2:36" s="9" customFormat="1" ht="30" customHeight="1" x14ac:dyDescent="0.3">
      <c r="C93" s="832" t="str">
        <f>IF(Language="English", AG92, AH92)</f>
        <v>Median (50 Percentile)</v>
      </c>
      <c r="D93" s="631" t="str">
        <f>IF(Language="English", AG93, AH93)</f>
        <v>Traditional CP among married women</v>
      </c>
      <c r="E93" s="315" t="s">
        <v>511</v>
      </c>
      <c r="F93" s="315">
        <v>50</v>
      </c>
      <c r="G93" s="631" t="s">
        <v>1099</v>
      </c>
      <c r="H93" s="631" t="str">
        <f>G93&amp;E93&amp;F93</f>
        <v>tCPMW50</v>
      </c>
      <c r="I93" s="709">
        <f>SUMIFS(INDEX('PASTE IN FPET RESULTS'!$A:$AB,0, MATCH('Review FPET Inputs'!$AE93, 'PASTE IN FPET RESULTS'!$A$1:$AB$1, 0)),  'PASTE IN FPET RESULTS'!$E:$E, $AC93, 'PASTE IN FPET RESULTS'!$F:$F, $AD93, 'PASTE IN FPET RESULTS'!$D:$D, 'Review FPET Inputs'!I$92)</f>
        <v>0</v>
      </c>
      <c r="J93" s="709">
        <f>SUMIFS(INDEX('PASTE IN FPET RESULTS'!$A:$AB,0, MATCH('Review FPET Inputs'!$AE93, 'PASTE IN FPET RESULTS'!$A$1:$AB$1, 0)),  'PASTE IN FPET RESULTS'!$E:$E, $AC93, 'PASTE IN FPET RESULTS'!$F:$F, $AD93, 'PASTE IN FPET RESULTS'!$D:$D, 'Review FPET Inputs'!J$92)</f>
        <v>0</v>
      </c>
      <c r="K93" s="709">
        <f>SUMIFS(INDEX('PASTE IN FPET RESULTS'!$A:$AB,0, MATCH('Review FPET Inputs'!$AE93, 'PASTE IN FPET RESULTS'!$A$1:$AB$1, 0)),  'PASTE IN FPET RESULTS'!$E:$E, $AC93, 'PASTE IN FPET RESULTS'!$F:$F, $AD93, 'PASTE IN FPET RESULTS'!$D:$D, 'Review FPET Inputs'!K$92)</f>
        <v>0</v>
      </c>
      <c r="L93" s="709">
        <f>SUMIFS(INDEX('PASTE IN FPET RESULTS'!$A:$AB,0, MATCH('Review FPET Inputs'!$AE93, 'PASTE IN FPET RESULTS'!$A$1:$AB$1, 0)),  'PASTE IN FPET RESULTS'!$E:$E, $AC93, 'PASTE IN FPET RESULTS'!$F:$F, $AD93, 'PASTE IN FPET RESULTS'!$D:$D, 'Review FPET Inputs'!L$92)</f>
        <v>0</v>
      </c>
      <c r="M93" s="709">
        <f>SUMIFS(INDEX('PASTE IN FPET RESULTS'!$A:$AB,0, MATCH('Review FPET Inputs'!$AE93, 'PASTE IN FPET RESULTS'!$A$1:$AB$1, 0)),  'PASTE IN FPET RESULTS'!$E:$E, $AC93, 'PASTE IN FPET RESULTS'!$F:$F, $AD93, 'PASTE IN FPET RESULTS'!$D:$D, 'Review FPET Inputs'!M$92)</f>
        <v>0</v>
      </c>
      <c r="N93" s="709">
        <f>SUMIFS(INDEX('PASTE IN FPET RESULTS'!$A:$AB,0, MATCH('Review FPET Inputs'!$AE93, 'PASTE IN FPET RESULTS'!$A$1:$AB$1, 0)),  'PASTE IN FPET RESULTS'!$E:$E, $AC93, 'PASTE IN FPET RESULTS'!$F:$F, $AD93, 'PASTE IN FPET RESULTS'!$D:$D, 'Review FPET Inputs'!N$92)</f>
        <v>0</v>
      </c>
      <c r="O93" s="709">
        <f>SUMIFS(INDEX('PASTE IN FPET RESULTS'!$A:$AB,0, MATCH('Review FPET Inputs'!$AE93, 'PASTE IN FPET RESULTS'!$A$1:$AB$1, 0)),  'PASTE IN FPET RESULTS'!$E:$E, $AC93, 'PASTE IN FPET RESULTS'!$F:$F, $AD93, 'PASTE IN FPET RESULTS'!$D:$D, 'Review FPET Inputs'!O$92)</f>
        <v>0</v>
      </c>
      <c r="P93" s="709">
        <f>SUMIFS(INDEX('PASTE IN FPET RESULTS'!$A:$AB,0, MATCH('Review FPET Inputs'!$AE93, 'PASTE IN FPET RESULTS'!$A$1:$AB$1, 0)),  'PASTE IN FPET RESULTS'!$E:$E, $AC93, 'PASTE IN FPET RESULTS'!$F:$F, $AD93, 'PASTE IN FPET RESULTS'!$D:$D, 'Review FPET Inputs'!P$92)</f>
        <v>0</v>
      </c>
      <c r="Q93" s="709">
        <f>SUMIFS(INDEX('PASTE IN FPET RESULTS'!$A:$AB,0, MATCH('Review FPET Inputs'!$AE93, 'PASTE IN FPET RESULTS'!$A$1:$AB$1, 0)),  'PASTE IN FPET RESULTS'!$E:$E, $AC93, 'PASTE IN FPET RESULTS'!$F:$F, $AD93, 'PASTE IN FPET RESULTS'!$D:$D, 'Review FPET Inputs'!Q$92)</f>
        <v>0</v>
      </c>
      <c r="R93" s="709">
        <f>SUMIFS(INDEX('PASTE IN FPET RESULTS'!$A:$AB,0, MATCH('Review FPET Inputs'!$AE93, 'PASTE IN FPET RESULTS'!$A$1:$AB$1, 0)),  'PASTE IN FPET RESULTS'!$E:$E, $AC93, 'PASTE IN FPET RESULTS'!$F:$F, $AD93, 'PASTE IN FPET RESULTS'!$D:$D, 'Review FPET Inputs'!R$92)</f>
        <v>0</v>
      </c>
      <c r="S93" s="709">
        <f>SUMIFS(INDEX('PASTE IN FPET RESULTS'!$A:$AB,0, MATCH('Review FPET Inputs'!$AE93, 'PASTE IN FPET RESULTS'!$A$1:$AB$1, 0)),  'PASTE IN FPET RESULTS'!$E:$E, $AC93, 'PASTE IN FPET RESULTS'!$F:$F, $AD93, 'PASTE IN FPET RESULTS'!$D:$D, 'Review FPET Inputs'!S$92)</f>
        <v>0</v>
      </c>
      <c r="T93" s="709">
        <f>SUMIFS(INDEX('PASTE IN FPET RESULTS'!$A:$AB,0, MATCH('Review FPET Inputs'!$AE93, 'PASTE IN FPET RESULTS'!$A$1:$AB$1, 0)),  'PASTE IN FPET RESULTS'!$E:$E, $AC93, 'PASTE IN FPET RESULTS'!$F:$F, $AD93, 'PASTE IN FPET RESULTS'!$D:$D, 'Review FPET Inputs'!T$92)</f>
        <v>0</v>
      </c>
      <c r="U93" s="709">
        <f>SUMIFS(INDEX('PASTE IN FPET RESULTS'!$A:$AB,0, MATCH('Review FPET Inputs'!$AE93, 'PASTE IN FPET RESULTS'!$A$1:$AB$1, 0)),  'PASTE IN FPET RESULTS'!$E:$E, $AC93, 'PASTE IN FPET RESULTS'!$F:$F, $AD93, 'PASTE IN FPET RESULTS'!$D:$D, 'Review FPET Inputs'!U$92)</f>
        <v>0</v>
      </c>
      <c r="V93" s="709">
        <f>SUMIFS(INDEX('PASTE IN FPET RESULTS'!$A:$AB,0, MATCH('Review FPET Inputs'!$AE93, 'PASTE IN FPET RESULTS'!$A$1:$AB$1, 0)),  'PASTE IN FPET RESULTS'!$E:$E, $AC93, 'PASTE IN FPET RESULTS'!$F:$F, $AD93, 'PASTE IN FPET RESULTS'!$D:$D, 'Review FPET Inputs'!V$92)</f>
        <v>0</v>
      </c>
      <c r="W93" s="709">
        <f>SUMIFS(INDEX('PASTE IN FPET RESULTS'!$A:$AB,0, MATCH('Review FPET Inputs'!$AE93, 'PASTE IN FPET RESULTS'!$A$1:$AB$1, 0)),  'PASTE IN FPET RESULTS'!$E:$E, $AC93, 'PASTE IN FPET RESULTS'!$F:$F, $AD93, 'PASTE IN FPET RESULTS'!$D:$D, 'Review FPET Inputs'!W$92)</f>
        <v>0</v>
      </c>
      <c r="X93" s="709">
        <f>SUMIFS(INDEX('PASTE IN FPET RESULTS'!$A:$AB,0, MATCH('Review FPET Inputs'!$AE93, 'PASTE IN FPET RESULTS'!$A$1:$AB$1, 0)),  'PASTE IN FPET RESULTS'!$E:$E, $AC93, 'PASTE IN FPET RESULTS'!$F:$F, $AD93, 'PASTE IN FPET RESULTS'!$D:$D, 'Review FPET Inputs'!X$92)</f>
        <v>0</v>
      </c>
      <c r="Y93" s="709">
        <f>SUMIFS(INDEX('PASTE IN FPET RESULTS'!$A:$AB,0, MATCH('Review FPET Inputs'!$AE93, 'PASTE IN FPET RESULTS'!$A$1:$AB$1, 0)),  'PASTE IN FPET RESULTS'!$E:$E, $AC93, 'PASTE IN FPET RESULTS'!$F:$F, $AD93, 'PASTE IN FPET RESULTS'!$D:$D, 'Review FPET Inputs'!Y$92)</f>
        <v>0</v>
      </c>
      <c r="Z93" s="709">
        <f>SUMIFS(INDEX('PASTE IN FPET RESULTS'!$A:$AB,0, MATCH('Review FPET Inputs'!$AE93, 'PASTE IN FPET RESULTS'!$A$1:$AB$1, 0)),  'PASTE IN FPET RESULTS'!$E:$E, $AC93, 'PASTE IN FPET RESULTS'!$F:$F, $AD93, 'PASTE IN FPET RESULTS'!$D:$D, 'Review FPET Inputs'!Z$92)</f>
        <v>0</v>
      </c>
      <c r="AA93" s="709">
        <f>SUMIFS(INDEX('PASTE IN FPET RESULTS'!$A:$AB,0, MATCH('Review FPET Inputs'!$AE93, 'PASTE IN FPET RESULTS'!$A$1:$AB$1, 0)),  'PASTE IN FPET RESULTS'!$E:$E, $AC93, 'PASTE IN FPET RESULTS'!$F:$F, $AD93, 'PASTE IN FPET RESULTS'!$D:$D, 'Review FPET Inputs'!AA$92)</f>
        <v>0</v>
      </c>
      <c r="AC93" s="817" t="s">
        <v>1266</v>
      </c>
      <c r="AD93" s="817" t="s">
        <v>1098</v>
      </c>
      <c r="AE93" s="817" t="s">
        <v>1081</v>
      </c>
      <c r="AF93" s="8"/>
      <c r="AG93" s="24" t="s">
        <v>1022</v>
      </c>
      <c r="AH93" s="651" t="s">
        <v>1019</v>
      </c>
      <c r="AI93" s="233" t="s">
        <v>997</v>
      </c>
      <c r="AJ93" s="652" t="s">
        <v>707</v>
      </c>
    </row>
    <row r="94" spans="2:36" s="9" customFormat="1" ht="30" customHeight="1" x14ac:dyDescent="0.3">
      <c r="C94" s="832"/>
      <c r="D94" s="631" t="str">
        <f>IF(Language="English", AG94, AH94)</f>
        <v>Traditional CP among unmarried women</v>
      </c>
      <c r="E94" s="315" t="s">
        <v>1018</v>
      </c>
      <c r="F94" s="315">
        <v>50</v>
      </c>
      <c r="G94" s="631" t="s">
        <v>1099</v>
      </c>
      <c r="H94" s="631" t="str">
        <f>G94&amp;E94&amp;F94</f>
        <v>tCPUMW50</v>
      </c>
      <c r="I94" s="709">
        <f>SUMIFS(INDEX('PASTE IN FPET RESULTS'!$A:$AB,0, MATCH('Review FPET Inputs'!$AE94, 'PASTE IN FPET RESULTS'!$A$1:$AB$1, 0)),  'PASTE IN FPET RESULTS'!$E:$E, $AC94, 'PASTE IN FPET RESULTS'!$F:$F, $AD94, 'PASTE IN FPET RESULTS'!$D:$D, 'Review FPET Inputs'!I$92)</f>
        <v>0</v>
      </c>
      <c r="J94" s="709">
        <f>SUMIFS(INDEX('PASTE IN FPET RESULTS'!$A:$AB,0, MATCH('Review FPET Inputs'!$AE94, 'PASTE IN FPET RESULTS'!$A$1:$AB$1, 0)),  'PASTE IN FPET RESULTS'!$E:$E, $AC94, 'PASTE IN FPET RESULTS'!$F:$F, $AD94, 'PASTE IN FPET RESULTS'!$D:$D, 'Review FPET Inputs'!J$92)</f>
        <v>0</v>
      </c>
      <c r="K94" s="709">
        <f>SUMIFS(INDEX('PASTE IN FPET RESULTS'!$A:$AB,0, MATCH('Review FPET Inputs'!$AE94, 'PASTE IN FPET RESULTS'!$A$1:$AB$1, 0)),  'PASTE IN FPET RESULTS'!$E:$E, $AC94, 'PASTE IN FPET RESULTS'!$F:$F, $AD94, 'PASTE IN FPET RESULTS'!$D:$D, 'Review FPET Inputs'!K$92)</f>
        <v>0</v>
      </c>
      <c r="L94" s="709">
        <f>SUMIFS(INDEX('PASTE IN FPET RESULTS'!$A:$AB,0, MATCH('Review FPET Inputs'!$AE94, 'PASTE IN FPET RESULTS'!$A$1:$AB$1, 0)),  'PASTE IN FPET RESULTS'!$E:$E, $AC94, 'PASTE IN FPET RESULTS'!$F:$F, $AD94, 'PASTE IN FPET RESULTS'!$D:$D, 'Review FPET Inputs'!L$92)</f>
        <v>0</v>
      </c>
      <c r="M94" s="709">
        <f>SUMIFS(INDEX('PASTE IN FPET RESULTS'!$A:$AB,0, MATCH('Review FPET Inputs'!$AE94, 'PASTE IN FPET RESULTS'!$A$1:$AB$1, 0)),  'PASTE IN FPET RESULTS'!$E:$E, $AC94, 'PASTE IN FPET RESULTS'!$F:$F, $AD94, 'PASTE IN FPET RESULTS'!$D:$D, 'Review FPET Inputs'!M$92)</f>
        <v>0</v>
      </c>
      <c r="N94" s="709">
        <f>SUMIFS(INDEX('PASTE IN FPET RESULTS'!$A:$AB,0, MATCH('Review FPET Inputs'!$AE94, 'PASTE IN FPET RESULTS'!$A$1:$AB$1, 0)),  'PASTE IN FPET RESULTS'!$E:$E, $AC94, 'PASTE IN FPET RESULTS'!$F:$F, $AD94, 'PASTE IN FPET RESULTS'!$D:$D, 'Review FPET Inputs'!N$92)</f>
        <v>0</v>
      </c>
      <c r="O94" s="709">
        <f>SUMIFS(INDEX('PASTE IN FPET RESULTS'!$A:$AB,0, MATCH('Review FPET Inputs'!$AE94, 'PASTE IN FPET RESULTS'!$A$1:$AB$1, 0)),  'PASTE IN FPET RESULTS'!$E:$E, $AC94, 'PASTE IN FPET RESULTS'!$F:$F, $AD94, 'PASTE IN FPET RESULTS'!$D:$D, 'Review FPET Inputs'!O$92)</f>
        <v>0</v>
      </c>
      <c r="P94" s="709">
        <f>SUMIFS(INDEX('PASTE IN FPET RESULTS'!$A:$AB,0, MATCH('Review FPET Inputs'!$AE94, 'PASTE IN FPET RESULTS'!$A$1:$AB$1, 0)),  'PASTE IN FPET RESULTS'!$E:$E, $AC94, 'PASTE IN FPET RESULTS'!$F:$F, $AD94, 'PASTE IN FPET RESULTS'!$D:$D, 'Review FPET Inputs'!P$92)</f>
        <v>0</v>
      </c>
      <c r="Q94" s="709">
        <f>SUMIFS(INDEX('PASTE IN FPET RESULTS'!$A:$AB,0, MATCH('Review FPET Inputs'!$AE94, 'PASTE IN FPET RESULTS'!$A$1:$AB$1, 0)),  'PASTE IN FPET RESULTS'!$E:$E, $AC94, 'PASTE IN FPET RESULTS'!$F:$F, $AD94, 'PASTE IN FPET RESULTS'!$D:$D, 'Review FPET Inputs'!Q$92)</f>
        <v>0</v>
      </c>
      <c r="R94" s="709">
        <f>SUMIFS(INDEX('PASTE IN FPET RESULTS'!$A:$AB,0, MATCH('Review FPET Inputs'!$AE94, 'PASTE IN FPET RESULTS'!$A$1:$AB$1, 0)),  'PASTE IN FPET RESULTS'!$E:$E, $AC94, 'PASTE IN FPET RESULTS'!$F:$F, $AD94, 'PASTE IN FPET RESULTS'!$D:$D, 'Review FPET Inputs'!R$92)</f>
        <v>0</v>
      </c>
      <c r="S94" s="709">
        <f>SUMIFS(INDEX('PASTE IN FPET RESULTS'!$A:$AB,0, MATCH('Review FPET Inputs'!$AE94, 'PASTE IN FPET RESULTS'!$A$1:$AB$1, 0)),  'PASTE IN FPET RESULTS'!$E:$E, $AC94, 'PASTE IN FPET RESULTS'!$F:$F, $AD94, 'PASTE IN FPET RESULTS'!$D:$D, 'Review FPET Inputs'!S$92)</f>
        <v>0</v>
      </c>
      <c r="T94" s="709">
        <f>SUMIFS(INDEX('PASTE IN FPET RESULTS'!$A:$AB,0, MATCH('Review FPET Inputs'!$AE94, 'PASTE IN FPET RESULTS'!$A$1:$AB$1, 0)),  'PASTE IN FPET RESULTS'!$E:$E, $AC94, 'PASTE IN FPET RESULTS'!$F:$F, $AD94, 'PASTE IN FPET RESULTS'!$D:$D, 'Review FPET Inputs'!T$92)</f>
        <v>0</v>
      </c>
      <c r="U94" s="709">
        <f>SUMIFS(INDEX('PASTE IN FPET RESULTS'!$A:$AB,0, MATCH('Review FPET Inputs'!$AE94, 'PASTE IN FPET RESULTS'!$A$1:$AB$1, 0)),  'PASTE IN FPET RESULTS'!$E:$E, $AC94, 'PASTE IN FPET RESULTS'!$F:$F, $AD94, 'PASTE IN FPET RESULTS'!$D:$D, 'Review FPET Inputs'!U$92)</f>
        <v>0</v>
      </c>
      <c r="V94" s="709">
        <f>SUMIFS(INDEX('PASTE IN FPET RESULTS'!$A:$AB,0, MATCH('Review FPET Inputs'!$AE94, 'PASTE IN FPET RESULTS'!$A$1:$AB$1, 0)),  'PASTE IN FPET RESULTS'!$E:$E, $AC94, 'PASTE IN FPET RESULTS'!$F:$F, $AD94, 'PASTE IN FPET RESULTS'!$D:$D, 'Review FPET Inputs'!V$92)</f>
        <v>0</v>
      </c>
      <c r="W94" s="709">
        <f>SUMIFS(INDEX('PASTE IN FPET RESULTS'!$A:$AB,0, MATCH('Review FPET Inputs'!$AE94, 'PASTE IN FPET RESULTS'!$A$1:$AB$1, 0)),  'PASTE IN FPET RESULTS'!$E:$E, $AC94, 'PASTE IN FPET RESULTS'!$F:$F, $AD94, 'PASTE IN FPET RESULTS'!$D:$D, 'Review FPET Inputs'!W$92)</f>
        <v>0</v>
      </c>
      <c r="X94" s="709">
        <f>SUMIFS(INDEX('PASTE IN FPET RESULTS'!$A:$AB,0, MATCH('Review FPET Inputs'!$AE94, 'PASTE IN FPET RESULTS'!$A$1:$AB$1, 0)),  'PASTE IN FPET RESULTS'!$E:$E, $AC94, 'PASTE IN FPET RESULTS'!$F:$F, $AD94, 'PASTE IN FPET RESULTS'!$D:$D, 'Review FPET Inputs'!X$92)</f>
        <v>0</v>
      </c>
      <c r="Y94" s="709">
        <f>SUMIFS(INDEX('PASTE IN FPET RESULTS'!$A:$AB,0, MATCH('Review FPET Inputs'!$AE94, 'PASTE IN FPET RESULTS'!$A$1:$AB$1, 0)),  'PASTE IN FPET RESULTS'!$E:$E, $AC94, 'PASTE IN FPET RESULTS'!$F:$F, $AD94, 'PASTE IN FPET RESULTS'!$D:$D, 'Review FPET Inputs'!Y$92)</f>
        <v>0</v>
      </c>
      <c r="Z94" s="709">
        <f>SUMIFS(INDEX('PASTE IN FPET RESULTS'!$A:$AB,0, MATCH('Review FPET Inputs'!$AE94, 'PASTE IN FPET RESULTS'!$A$1:$AB$1, 0)),  'PASTE IN FPET RESULTS'!$E:$E, $AC94, 'PASTE IN FPET RESULTS'!$F:$F, $AD94, 'PASTE IN FPET RESULTS'!$D:$D, 'Review FPET Inputs'!Z$92)</f>
        <v>0</v>
      </c>
      <c r="AA94" s="709">
        <f>SUMIFS(INDEX('PASTE IN FPET RESULTS'!$A:$AB,0, MATCH('Review FPET Inputs'!$AE94, 'PASTE IN FPET RESULTS'!$A$1:$AB$1, 0)),  'PASTE IN FPET RESULTS'!$E:$E, $AC94, 'PASTE IN FPET RESULTS'!$F:$F, $AD94, 'PASTE IN FPET RESULTS'!$D:$D, 'Review FPET Inputs'!AA$92)</f>
        <v>0</v>
      </c>
      <c r="AC94" s="817" t="s">
        <v>1267</v>
      </c>
      <c r="AD94" s="817" t="s">
        <v>1098</v>
      </c>
      <c r="AE94" s="817" t="s">
        <v>1081</v>
      </c>
      <c r="AF94" s="8"/>
      <c r="AG94" s="24" t="s">
        <v>1021</v>
      </c>
      <c r="AH94" s="651" t="s">
        <v>1019</v>
      </c>
      <c r="AI94" s="619"/>
      <c r="AJ94" s="619"/>
    </row>
    <row r="95" spans="2:36" s="44" customFormat="1" ht="30" customHeight="1" x14ac:dyDescent="0.3">
      <c r="B95" s="9"/>
      <c r="C95" s="832"/>
      <c r="D95" s="631" t="str">
        <f>IF(Language="English", AG95, AH95)</f>
        <v>Traditional CP among ALL women</v>
      </c>
      <c r="E95" s="315" t="s">
        <v>505</v>
      </c>
      <c r="F95" s="315">
        <v>50</v>
      </c>
      <c r="G95" s="631" t="s">
        <v>1099</v>
      </c>
      <c r="H95" s="631" t="str">
        <f>G95&amp;E95&amp;F95</f>
        <v>tCPAW50</v>
      </c>
      <c r="I95" s="709">
        <f>SUMIFS(INDEX('PASTE IN FPET RESULTS'!$A:$AB,0, MATCH('Review FPET Inputs'!$AE95, 'PASTE IN FPET RESULTS'!$A$1:$AB$1, 0)),  'PASTE IN FPET RESULTS'!$E:$E, $AC95, 'PASTE IN FPET RESULTS'!$F:$F, $AD95, 'PASTE IN FPET RESULTS'!$D:$D, 'Review FPET Inputs'!I$92)</f>
        <v>0</v>
      </c>
      <c r="J95" s="709">
        <f>SUMIFS(INDEX('PASTE IN FPET RESULTS'!$A:$AB,0, MATCH('Review FPET Inputs'!$AE95, 'PASTE IN FPET RESULTS'!$A$1:$AB$1, 0)),  'PASTE IN FPET RESULTS'!$E:$E, $AC95, 'PASTE IN FPET RESULTS'!$F:$F, $AD95, 'PASTE IN FPET RESULTS'!$D:$D, 'Review FPET Inputs'!J$92)</f>
        <v>0</v>
      </c>
      <c r="K95" s="709">
        <f>SUMIFS(INDEX('PASTE IN FPET RESULTS'!$A:$AB,0, MATCH('Review FPET Inputs'!$AE95, 'PASTE IN FPET RESULTS'!$A$1:$AB$1, 0)),  'PASTE IN FPET RESULTS'!$E:$E, $AC95, 'PASTE IN FPET RESULTS'!$F:$F, $AD95, 'PASTE IN FPET RESULTS'!$D:$D, 'Review FPET Inputs'!K$92)</f>
        <v>0</v>
      </c>
      <c r="L95" s="709">
        <f>SUMIFS(INDEX('PASTE IN FPET RESULTS'!$A:$AB,0, MATCH('Review FPET Inputs'!$AE95, 'PASTE IN FPET RESULTS'!$A$1:$AB$1, 0)),  'PASTE IN FPET RESULTS'!$E:$E, $AC95, 'PASTE IN FPET RESULTS'!$F:$F, $AD95, 'PASTE IN FPET RESULTS'!$D:$D, 'Review FPET Inputs'!L$92)</f>
        <v>0</v>
      </c>
      <c r="M95" s="709">
        <f>SUMIFS(INDEX('PASTE IN FPET RESULTS'!$A:$AB,0, MATCH('Review FPET Inputs'!$AE95, 'PASTE IN FPET RESULTS'!$A$1:$AB$1, 0)),  'PASTE IN FPET RESULTS'!$E:$E, $AC95, 'PASTE IN FPET RESULTS'!$F:$F, $AD95, 'PASTE IN FPET RESULTS'!$D:$D, 'Review FPET Inputs'!M$92)</f>
        <v>0</v>
      </c>
      <c r="N95" s="709">
        <f>SUMIFS(INDEX('PASTE IN FPET RESULTS'!$A:$AB,0, MATCH('Review FPET Inputs'!$AE95, 'PASTE IN FPET RESULTS'!$A$1:$AB$1, 0)),  'PASTE IN FPET RESULTS'!$E:$E, $AC95, 'PASTE IN FPET RESULTS'!$F:$F, $AD95, 'PASTE IN FPET RESULTS'!$D:$D, 'Review FPET Inputs'!N$92)</f>
        <v>0</v>
      </c>
      <c r="O95" s="709">
        <f>SUMIFS(INDEX('PASTE IN FPET RESULTS'!$A:$AB,0, MATCH('Review FPET Inputs'!$AE95, 'PASTE IN FPET RESULTS'!$A$1:$AB$1, 0)),  'PASTE IN FPET RESULTS'!$E:$E, $AC95, 'PASTE IN FPET RESULTS'!$F:$F, $AD95, 'PASTE IN FPET RESULTS'!$D:$D, 'Review FPET Inputs'!O$92)</f>
        <v>0</v>
      </c>
      <c r="P95" s="709">
        <f>SUMIFS(INDEX('PASTE IN FPET RESULTS'!$A:$AB,0, MATCH('Review FPET Inputs'!$AE95, 'PASTE IN FPET RESULTS'!$A$1:$AB$1, 0)),  'PASTE IN FPET RESULTS'!$E:$E, $AC95, 'PASTE IN FPET RESULTS'!$F:$F, $AD95, 'PASTE IN FPET RESULTS'!$D:$D, 'Review FPET Inputs'!P$92)</f>
        <v>0</v>
      </c>
      <c r="Q95" s="709">
        <f>SUMIFS(INDEX('PASTE IN FPET RESULTS'!$A:$AB,0, MATCH('Review FPET Inputs'!$AE95, 'PASTE IN FPET RESULTS'!$A$1:$AB$1, 0)),  'PASTE IN FPET RESULTS'!$E:$E, $AC95, 'PASTE IN FPET RESULTS'!$F:$F, $AD95, 'PASTE IN FPET RESULTS'!$D:$D, 'Review FPET Inputs'!Q$92)</f>
        <v>0</v>
      </c>
      <c r="R95" s="709">
        <f>SUMIFS(INDEX('PASTE IN FPET RESULTS'!$A:$AB,0, MATCH('Review FPET Inputs'!$AE95, 'PASTE IN FPET RESULTS'!$A$1:$AB$1, 0)),  'PASTE IN FPET RESULTS'!$E:$E, $AC95, 'PASTE IN FPET RESULTS'!$F:$F, $AD95, 'PASTE IN FPET RESULTS'!$D:$D, 'Review FPET Inputs'!R$92)</f>
        <v>0</v>
      </c>
      <c r="S95" s="709">
        <f>SUMIFS(INDEX('PASTE IN FPET RESULTS'!$A:$AB,0, MATCH('Review FPET Inputs'!$AE95, 'PASTE IN FPET RESULTS'!$A$1:$AB$1, 0)),  'PASTE IN FPET RESULTS'!$E:$E, $AC95, 'PASTE IN FPET RESULTS'!$F:$F, $AD95, 'PASTE IN FPET RESULTS'!$D:$D, 'Review FPET Inputs'!S$92)</f>
        <v>0</v>
      </c>
      <c r="T95" s="709">
        <f>SUMIFS(INDEX('PASTE IN FPET RESULTS'!$A:$AB,0, MATCH('Review FPET Inputs'!$AE95, 'PASTE IN FPET RESULTS'!$A$1:$AB$1, 0)),  'PASTE IN FPET RESULTS'!$E:$E, $AC95, 'PASTE IN FPET RESULTS'!$F:$F, $AD95, 'PASTE IN FPET RESULTS'!$D:$D, 'Review FPET Inputs'!T$92)</f>
        <v>0</v>
      </c>
      <c r="U95" s="709">
        <f>SUMIFS(INDEX('PASTE IN FPET RESULTS'!$A:$AB,0, MATCH('Review FPET Inputs'!$AE95, 'PASTE IN FPET RESULTS'!$A$1:$AB$1, 0)),  'PASTE IN FPET RESULTS'!$E:$E, $AC95, 'PASTE IN FPET RESULTS'!$F:$F, $AD95, 'PASTE IN FPET RESULTS'!$D:$D, 'Review FPET Inputs'!U$92)</f>
        <v>0</v>
      </c>
      <c r="V95" s="709">
        <f>SUMIFS(INDEX('PASTE IN FPET RESULTS'!$A:$AB,0, MATCH('Review FPET Inputs'!$AE95, 'PASTE IN FPET RESULTS'!$A$1:$AB$1, 0)),  'PASTE IN FPET RESULTS'!$E:$E, $AC95, 'PASTE IN FPET RESULTS'!$F:$F, $AD95, 'PASTE IN FPET RESULTS'!$D:$D, 'Review FPET Inputs'!V$92)</f>
        <v>0</v>
      </c>
      <c r="W95" s="709">
        <f>SUMIFS(INDEX('PASTE IN FPET RESULTS'!$A:$AB,0, MATCH('Review FPET Inputs'!$AE95, 'PASTE IN FPET RESULTS'!$A$1:$AB$1, 0)),  'PASTE IN FPET RESULTS'!$E:$E, $AC95, 'PASTE IN FPET RESULTS'!$F:$F, $AD95, 'PASTE IN FPET RESULTS'!$D:$D, 'Review FPET Inputs'!W$92)</f>
        <v>0</v>
      </c>
      <c r="X95" s="709">
        <f>SUMIFS(INDEX('PASTE IN FPET RESULTS'!$A:$AB,0, MATCH('Review FPET Inputs'!$AE95, 'PASTE IN FPET RESULTS'!$A$1:$AB$1, 0)),  'PASTE IN FPET RESULTS'!$E:$E, $AC95, 'PASTE IN FPET RESULTS'!$F:$F, $AD95, 'PASTE IN FPET RESULTS'!$D:$D, 'Review FPET Inputs'!X$92)</f>
        <v>0</v>
      </c>
      <c r="Y95" s="709">
        <f>SUMIFS(INDEX('PASTE IN FPET RESULTS'!$A:$AB,0, MATCH('Review FPET Inputs'!$AE95, 'PASTE IN FPET RESULTS'!$A$1:$AB$1, 0)),  'PASTE IN FPET RESULTS'!$E:$E, $AC95, 'PASTE IN FPET RESULTS'!$F:$F, $AD95, 'PASTE IN FPET RESULTS'!$D:$D, 'Review FPET Inputs'!Y$92)</f>
        <v>0</v>
      </c>
      <c r="Z95" s="709">
        <f>SUMIFS(INDEX('PASTE IN FPET RESULTS'!$A:$AB,0, MATCH('Review FPET Inputs'!$AE95, 'PASTE IN FPET RESULTS'!$A$1:$AB$1, 0)),  'PASTE IN FPET RESULTS'!$E:$E, $AC95, 'PASTE IN FPET RESULTS'!$F:$F, $AD95, 'PASTE IN FPET RESULTS'!$D:$D, 'Review FPET Inputs'!Z$92)</f>
        <v>0</v>
      </c>
      <c r="AA95" s="709">
        <f>SUMIFS(INDEX('PASTE IN FPET RESULTS'!$A:$AB,0, MATCH('Review FPET Inputs'!$AE95, 'PASTE IN FPET RESULTS'!$A$1:$AB$1, 0)),  'PASTE IN FPET RESULTS'!$E:$E, $AC95, 'PASTE IN FPET RESULTS'!$F:$F, $AD95, 'PASTE IN FPET RESULTS'!$D:$D, 'Review FPET Inputs'!AA$92)</f>
        <v>0</v>
      </c>
      <c r="AC95" s="817" t="s">
        <v>1268</v>
      </c>
      <c r="AD95" s="817" t="s">
        <v>1098</v>
      </c>
      <c r="AE95" s="817" t="s">
        <v>1081</v>
      </c>
      <c r="AF95" s="681"/>
      <c r="AG95" s="24" t="s">
        <v>1020</v>
      </c>
      <c r="AH95" s="651" t="s">
        <v>1019</v>
      </c>
      <c r="AI95" s="619"/>
      <c r="AJ95" s="619"/>
    </row>
    <row r="96" spans="2:36" ht="10.95" customHeight="1" x14ac:dyDescent="0.3">
      <c r="AC96" s="716"/>
      <c r="AD96" s="716"/>
      <c r="AE96" s="716"/>
      <c r="AF96" s="8"/>
      <c r="AG96" s="647" t="s">
        <v>1012</v>
      </c>
      <c r="AH96" s="647" t="s">
        <v>967</v>
      </c>
    </row>
    <row r="97" spans="2:36" s="9" customFormat="1" ht="30" customHeight="1" x14ac:dyDescent="0.3">
      <c r="C97" s="832" t="str">
        <f>IF(Language="English", AG96, AH96)</f>
        <v>Lower Bound (2.5 Percentile)</v>
      </c>
      <c r="D97" s="631" t="str">
        <f>IF(Language="English", AG97, AH97)</f>
        <v>Traditional CP among married women</v>
      </c>
      <c r="E97" s="711" t="s">
        <v>511</v>
      </c>
      <c r="F97" s="711">
        <v>2.5</v>
      </c>
      <c r="G97" s="631" t="s">
        <v>1099</v>
      </c>
      <c r="H97" s="631" t="str">
        <f>G97&amp;E97&amp;F97</f>
        <v>tCPMW2.5</v>
      </c>
      <c r="I97" s="709">
        <f>SUMIFS(INDEX('PASTE IN FPET RESULTS'!$A:$AB,0, MATCH('Review FPET Inputs'!$AE97, 'PASTE IN FPET RESULTS'!$A$1:$AB$1, 0)),  'PASTE IN FPET RESULTS'!$E:$E, $AC97, 'PASTE IN FPET RESULTS'!$F:$F, $AD97, 'PASTE IN FPET RESULTS'!$D:$D, 'Review FPET Inputs'!I$92)</f>
        <v>0</v>
      </c>
      <c r="J97" s="709">
        <f>SUMIFS(INDEX('PASTE IN FPET RESULTS'!$A:$AB,0, MATCH('Review FPET Inputs'!$AE97, 'PASTE IN FPET RESULTS'!$A$1:$AB$1, 0)),  'PASTE IN FPET RESULTS'!$E:$E, $AC97, 'PASTE IN FPET RESULTS'!$F:$F, $AD97, 'PASTE IN FPET RESULTS'!$D:$D, 'Review FPET Inputs'!J$92)</f>
        <v>0</v>
      </c>
      <c r="K97" s="709">
        <f>SUMIFS(INDEX('PASTE IN FPET RESULTS'!$A:$AB,0, MATCH('Review FPET Inputs'!$AE97, 'PASTE IN FPET RESULTS'!$A$1:$AB$1, 0)),  'PASTE IN FPET RESULTS'!$E:$E, $AC97, 'PASTE IN FPET RESULTS'!$F:$F, $AD97, 'PASTE IN FPET RESULTS'!$D:$D, 'Review FPET Inputs'!K$92)</f>
        <v>0</v>
      </c>
      <c r="L97" s="709">
        <f>SUMIFS(INDEX('PASTE IN FPET RESULTS'!$A:$AB,0, MATCH('Review FPET Inputs'!$AE97, 'PASTE IN FPET RESULTS'!$A$1:$AB$1, 0)),  'PASTE IN FPET RESULTS'!$E:$E, $AC97, 'PASTE IN FPET RESULTS'!$F:$F, $AD97, 'PASTE IN FPET RESULTS'!$D:$D, 'Review FPET Inputs'!L$92)</f>
        <v>0</v>
      </c>
      <c r="M97" s="709">
        <f>SUMIFS(INDEX('PASTE IN FPET RESULTS'!$A:$AB,0, MATCH('Review FPET Inputs'!$AE97, 'PASTE IN FPET RESULTS'!$A$1:$AB$1, 0)),  'PASTE IN FPET RESULTS'!$E:$E, $AC97, 'PASTE IN FPET RESULTS'!$F:$F, $AD97, 'PASTE IN FPET RESULTS'!$D:$D, 'Review FPET Inputs'!M$92)</f>
        <v>0</v>
      </c>
      <c r="N97" s="709">
        <f>SUMIFS(INDEX('PASTE IN FPET RESULTS'!$A:$AB,0, MATCH('Review FPET Inputs'!$AE97, 'PASTE IN FPET RESULTS'!$A$1:$AB$1, 0)),  'PASTE IN FPET RESULTS'!$E:$E, $AC97, 'PASTE IN FPET RESULTS'!$F:$F, $AD97, 'PASTE IN FPET RESULTS'!$D:$D, 'Review FPET Inputs'!N$92)</f>
        <v>0</v>
      </c>
      <c r="O97" s="709">
        <f>SUMIFS(INDEX('PASTE IN FPET RESULTS'!$A:$AB,0, MATCH('Review FPET Inputs'!$AE97, 'PASTE IN FPET RESULTS'!$A$1:$AB$1, 0)),  'PASTE IN FPET RESULTS'!$E:$E, $AC97, 'PASTE IN FPET RESULTS'!$F:$F, $AD97, 'PASTE IN FPET RESULTS'!$D:$D, 'Review FPET Inputs'!O$92)</f>
        <v>0</v>
      </c>
      <c r="P97" s="709">
        <f>SUMIFS(INDEX('PASTE IN FPET RESULTS'!$A:$AB,0, MATCH('Review FPET Inputs'!$AE97, 'PASTE IN FPET RESULTS'!$A$1:$AB$1, 0)),  'PASTE IN FPET RESULTS'!$E:$E, $AC97, 'PASTE IN FPET RESULTS'!$F:$F, $AD97, 'PASTE IN FPET RESULTS'!$D:$D, 'Review FPET Inputs'!P$92)</f>
        <v>0</v>
      </c>
      <c r="Q97" s="709">
        <f>SUMIFS(INDEX('PASTE IN FPET RESULTS'!$A:$AB,0, MATCH('Review FPET Inputs'!$AE97, 'PASTE IN FPET RESULTS'!$A$1:$AB$1, 0)),  'PASTE IN FPET RESULTS'!$E:$E, $AC97, 'PASTE IN FPET RESULTS'!$F:$F, $AD97, 'PASTE IN FPET RESULTS'!$D:$D, 'Review FPET Inputs'!Q$92)</f>
        <v>0</v>
      </c>
      <c r="R97" s="709">
        <f>SUMIFS(INDEX('PASTE IN FPET RESULTS'!$A:$AB,0, MATCH('Review FPET Inputs'!$AE97, 'PASTE IN FPET RESULTS'!$A$1:$AB$1, 0)),  'PASTE IN FPET RESULTS'!$E:$E, $AC97, 'PASTE IN FPET RESULTS'!$F:$F, $AD97, 'PASTE IN FPET RESULTS'!$D:$D, 'Review FPET Inputs'!R$92)</f>
        <v>0</v>
      </c>
      <c r="S97" s="709">
        <f>SUMIFS(INDEX('PASTE IN FPET RESULTS'!$A:$AB,0, MATCH('Review FPET Inputs'!$AE97, 'PASTE IN FPET RESULTS'!$A$1:$AB$1, 0)),  'PASTE IN FPET RESULTS'!$E:$E, $AC97, 'PASTE IN FPET RESULTS'!$F:$F, $AD97, 'PASTE IN FPET RESULTS'!$D:$D, 'Review FPET Inputs'!S$92)</f>
        <v>0</v>
      </c>
      <c r="T97" s="709">
        <f>SUMIFS(INDEX('PASTE IN FPET RESULTS'!$A:$AB,0, MATCH('Review FPET Inputs'!$AE97, 'PASTE IN FPET RESULTS'!$A$1:$AB$1, 0)),  'PASTE IN FPET RESULTS'!$E:$E, $AC97, 'PASTE IN FPET RESULTS'!$F:$F, $AD97, 'PASTE IN FPET RESULTS'!$D:$D, 'Review FPET Inputs'!T$92)</f>
        <v>0</v>
      </c>
      <c r="U97" s="709">
        <f>SUMIFS(INDEX('PASTE IN FPET RESULTS'!$A:$AB,0, MATCH('Review FPET Inputs'!$AE97, 'PASTE IN FPET RESULTS'!$A$1:$AB$1, 0)),  'PASTE IN FPET RESULTS'!$E:$E, $AC97, 'PASTE IN FPET RESULTS'!$F:$F, $AD97, 'PASTE IN FPET RESULTS'!$D:$D, 'Review FPET Inputs'!U$92)</f>
        <v>0</v>
      </c>
      <c r="V97" s="709">
        <f>SUMIFS(INDEX('PASTE IN FPET RESULTS'!$A:$AB,0, MATCH('Review FPET Inputs'!$AE97, 'PASTE IN FPET RESULTS'!$A$1:$AB$1, 0)),  'PASTE IN FPET RESULTS'!$E:$E, $AC97, 'PASTE IN FPET RESULTS'!$F:$F, $AD97, 'PASTE IN FPET RESULTS'!$D:$D, 'Review FPET Inputs'!V$92)</f>
        <v>0</v>
      </c>
      <c r="W97" s="709">
        <f>SUMIFS(INDEX('PASTE IN FPET RESULTS'!$A:$AB,0, MATCH('Review FPET Inputs'!$AE97, 'PASTE IN FPET RESULTS'!$A$1:$AB$1, 0)),  'PASTE IN FPET RESULTS'!$E:$E, $AC97, 'PASTE IN FPET RESULTS'!$F:$F, $AD97, 'PASTE IN FPET RESULTS'!$D:$D, 'Review FPET Inputs'!W$92)</f>
        <v>0</v>
      </c>
      <c r="X97" s="709">
        <f>SUMIFS(INDEX('PASTE IN FPET RESULTS'!$A:$AB,0, MATCH('Review FPET Inputs'!$AE97, 'PASTE IN FPET RESULTS'!$A$1:$AB$1, 0)),  'PASTE IN FPET RESULTS'!$E:$E, $AC97, 'PASTE IN FPET RESULTS'!$F:$F, $AD97, 'PASTE IN FPET RESULTS'!$D:$D, 'Review FPET Inputs'!X$92)</f>
        <v>0</v>
      </c>
      <c r="Y97" s="709">
        <f>SUMIFS(INDEX('PASTE IN FPET RESULTS'!$A:$AB,0, MATCH('Review FPET Inputs'!$AE97, 'PASTE IN FPET RESULTS'!$A$1:$AB$1, 0)),  'PASTE IN FPET RESULTS'!$E:$E, $AC97, 'PASTE IN FPET RESULTS'!$F:$F, $AD97, 'PASTE IN FPET RESULTS'!$D:$D, 'Review FPET Inputs'!Y$92)</f>
        <v>0</v>
      </c>
      <c r="Z97" s="709">
        <f>SUMIFS(INDEX('PASTE IN FPET RESULTS'!$A:$AB,0, MATCH('Review FPET Inputs'!$AE97, 'PASTE IN FPET RESULTS'!$A$1:$AB$1, 0)),  'PASTE IN FPET RESULTS'!$E:$E, $AC97, 'PASTE IN FPET RESULTS'!$F:$F, $AD97, 'PASTE IN FPET RESULTS'!$D:$D, 'Review FPET Inputs'!Z$92)</f>
        <v>0</v>
      </c>
      <c r="AA97" s="709">
        <f>SUMIFS(INDEX('PASTE IN FPET RESULTS'!$A:$AB,0, MATCH('Review FPET Inputs'!$AE97, 'PASTE IN FPET RESULTS'!$A$1:$AB$1, 0)),  'PASTE IN FPET RESULTS'!$E:$E, $AC97, 'PASTE IN FPET RESULTS'!$F:$F, $AD97, 'PASTE IN FPET RESULTS'!$D:$D, 'Review FPET Inputs'!AA$92)</f>
        <v>0</v>
      </c>
      <c r="AC97" s="817" t="s">
        <v>1266</v>
      </c>
      <c r="AD97" s="817">
        <v>2.5000000000000001E-2</v>
      </c>
      <c r="AE97" s="817" t="s">
        <v>1081</v>
      </c>
      <c r="AF97" s="8"/>
      <c r="AG97" s="24" t="s">
        <v>1022</v>
      </c>
      <c r="AH97" s="651" t="s">
        <v>1019</v>
      </c>
      <c r="AI97" s="233" t="s">
        <v>997</v>
      </c>
      <c r="AJ97" s="652" t="s">
        <v>707</v>
      </c>
    </row>
    <row r="98" spans="2:36" s="9" customFormat="1" ht="30" customHeight="1" x14ac:dyDescent="0.3">
      <c r="C98" s="832"/>
      <c r="D98" s="631" t="str">
        <f>IF(Language="English", AG98, AH98)</f>
        <v>Traditional CP among unmarried women</v>
      </c>
      <c r="E98" s="711" t="s">
        <v>1018</v>
      </c>
      <c r="F98" s="711">
        <v>2.5</v>
      </c>
      <c r="G98" s="631" t="s">
        <v>1099</v>
      </c>
      <c r="H98" s="631" t="str">
        <f>G98&amp;E98&amp;F98</f>
        <v>tCPUMW2.5</v>
      </c>
      <c r="I98" s="709">
        <f>SUMIFS(INDEX('PASTE IN FPET RESULTS'!$A:$AB,0, MATCH('Review FPET Inputs'!$AE98, 'PASTE IN FPET RESULTS'!$A$1:$AB$1, 0)),  'PASTE IN FPET RESULTS'!$E:$E, $AC98, 'PASTE IN FPET RESULTS'!$F:$F, $AD98, 'PASTE IN FPET RESULTS'!$D:$D, 'Review FPET Inputs'!I$92)</f>
        <v>0</v>
      </c>
      <c r="J98" s="709">
        <f>SUMIFS(INDEX('PASTE IN FPET RESULTS'!$A:$AB,0, MATCH('Review FPET Inputs'!$AE98, 'PASTE IN FPET RESULTS'!$A$1:$AB$1, 0)),  'PASTE IN FPET RESULTS'!$E:$E, $AC98, 'PASTE IN FPET RESULTS'!$F:$F, $AD98, 'PASTE IN FPET RESULTS'!$D:$D, 'Review FPET Inputs'!J$92)</f>
        <v>0</v>
      </c>
      <c r="K98" s="709">
        <f>SUMIFS(INDEX('PASTE IN FPET RESULTS'!$A:$AB,0, MATCH('Review FPET Inputs'!$AE98, 'PASTE IN FPET RESULTS'!$A$1:$AB$1, 0)),  'PASTE IN FPET RESULTS'!$E:$E, $AC98, 'PASTE IN FPET RESULTS'!$F:$F, $AD98, 'PASTE IN FPET RESULTS'!$D:$D, 'Review FPET Inputs'!K$92)</f>
        <v>0</v>
      </c>
      <c r="L98" s="709">
        <f>SUMIFS(INDEX('PASTE IN FPET RESULTS'!$A:$AB,0, MATCH('Review FPET Inputs'!$AE98, 'PASTE IN FPET RESULTS'!$A$1:$AB$1, 0)),  'PASTE IN FPET RESULTS'!$E:$E, $AC98, 'PASTE IN FPET RESULTS'!$F:$F, $AD98, 'PASTE IN FPET RESULTS'!$D:$D, 'Review FPET Inputs'!L$92)</f>
        <v>0</v>
      </c>
      <c r="M98" s="709">
        <f>SUMIFS(INDEX('PASTE IN FPET RESULTS'!$A:$AB,0, MATCH('Review FPET Inputs'!$AE98, 'PASTE IN FPET RESULTS'!$A$1:$AB$1, 0)),  'PASTE IN FPET RESULTS'!$E:$E, $AC98, 'PASTE IN FPET RESULTS'!$F:$F, $AD98, 'PASTE IN FPET RESULTS'!$D:$D, 'Review FPET Inputs'!M$92)</f>
        <v>0</v>
      </c>
      <c r="N98" s="709">
        <f>SUMIFS(INDEX('PASTE IN FPET RESULTS'!$A:$AB,0, MATCH('Review FPET Inputs'!$AE98, 'PASTE IN FPET RESULTS'!$A$1:$AB$1, 0)),  'PASTE IN FPET RESULTS'!$E:$E, $AC98, 'PASTE IN FPET RESULTS'!$F:$F, $AD98, 'PASTE IN FPET RESULTS'!$D:$D, 'Review FPET Inputs'!N$92)</f>
        <v>0</v>
      </c>
      <c r="O98" s="709">
        <f>SUMIFS(INDEX('PASTE IN FPET RESULTS'!$A:$AB,0, MATCH('Review FPET Inputs'!$AE98, 'PASTE IN FPET RESULTS'!$A$1:$AB$1, 0)),  'PASTE IN FPET RESULTS'!$E:$E, $AC98, 'PASTE IN FPET RESULTS'!$F:$F, $AD98, 'PASTE IN FPET RESULTS'!$D:$D, 'Review FPET Inputs'!O$92)</f>
        <v>0</v>
      </c>
      <c r="P98" s="709">
        <f>SUMIFS(INDEX('PASTE IN FPET RESULTS'!$A:$AB,0, MATCH('Review FPET Inputs'!$AE98, 'PASTE IN FPET RESULTS'!$A$1:$AB$1, 0)),  'PASTE IN FPET RESULTS'!$E:$E, $AC98, 'PASTE IN FPET RESULTS'!$F:$F, $AD98, 'PASTE IN FPET RESULTS'!$D:$D, 'Review FPET Inputs'!P$92)</f>
        <v>0</v>
      </c>
      <c r="Q98" s="709">
        <f>SUMIFS(INDEX('PASTE IN FPET RESULTS'!$A:$AB,0, MATCH('Review FPET Inputs'!$AE98, 'PASTE IN FPET RESULTS'!$A$1:$AB$1, 0)),  'PASTE IN FPET RESULTS'!$E:$E, $AC98, 'PASTE IN FPET RESULTS'!$F:$F, $AD98, 'PASTE IN FPET RESULTS'!$D:$D, 'Review FPET Inputs'!Q$92)</f>
        <v>0</v>
      </c>
      <c r="R98" s="709">
        <f>SUMIFS(INDEX('PASTE IN FPET RESULTS'!$A:$AB,0, MATCH('Review FPET Inputs'!$AE98, 'PASTE IN FPET RESULTS'!$A$1:$AB$1, 0)),  'PASTE IN FPET RESULTS'!$E:$E, $AC98, 'PASTE IN FPET RESULTS'!$F:$F, $AD98, 'PASTE IN FPET RESULTS'!$D:$D, 'Review FPET Inputs'!R$92)</f>
        <v>0</v>
      </c>
      <c r="S98" s="709">
        <f>SUMIFS(INDEX('PASTE IN FPET RESULTS'!$A:$AB,0, MATCH('Review FPET Inputs'!$AE98, 'PASTE IN FPET RESULTS'!$A$1:$AB$1, 0)),  'PASTE IN FPET RESULTS'!$E:$E, $AC98, 'PASTE IN FPET RESULTS'!$F:$F, $AD98, 'PASTE IN FPET RESULTS'!$D:$D, 'Review FPET Inputs'!S$92)</f>
        <v>0</v>
      </c>
      <c r="T98" s="709">
        <f>SUMIFS(INDEX('PASTE IN FPET RESULTS'!$A:$AB,0, MATCH('Review FPET Inputs'!$AE98, 'PASTE IN FPET RESULTS'!$A$1:$AB$1, 0)),  'PASTE IN FPET RESULTS'!$E:$E, $AC98, 'PASTE IN FPET RESULTS'!$F:$F, $AD98, 'PASTE IN FPET RESULTS'!$D:$D, 'Review FPET Inputs'!T$92)</f>
        <v>0</v>
      </c>
      <c r="U98" s="709">
        <f>SUMIFS(INDEX('PASTE IN FPET RESULTS'!$A:$AB,0, MATCH('Review FPET Inputs'!$AE98, 'PASTE IN FPET RESULTS'!$A$1:$AB$1, 0)),  'PASTE IN FPET RESULTS'!$E:$E, $AC98, 'PASTE IN FPET RESULTS'!$F:$F, $AD98, 'PASTE IN FPET RESULTS'!$D:$D, 'Review FPET Inputs'!U$92)</f>
        <v>0</v>
      </c>
      <c r="V98" s="709">
        <f>SUMIFS(INDEX('PASTE IN FPET RESULTS'!$A:$AB,0, MATCH('Review FPET Inputs'!$AE98, 'PASTE IN FPET RESULTS'!$A$1:$AB$1, 0)),  'PASTE IN FPET RESULTS'!$E:$E, $AC98, 'PASTE IN FPET RESULTS'!$F:$F, $AD98, 'PASTE IN FPET RESULTS'!$D:$D, 'Review FPET Inputs'!V$92)</f>
        <v>0</v>
      </c>
      <c r="W98" s="709">
        <f>SUMIFS(INDEX('PASTE IN FPET RESULTS'!$A:$AB,0, MATCH('Review FPET Inputs'!$AE98, 'PASTE IN FPET RESULTS'!$A$1:$AB$1, 0)),  'PASTE IN FPET RESULTS'!$E:$E, $AC98, 'PASTE IN FPET RESULTS'!$F:$F, $AD98, 'PASTE IN FPET RESULTS'!$D:$D, 'Review FPET Inputs'!W$92)</f>
        <v>0</v>
      </c>
      <c r="X98" s="709">
        <f>SUMIFS(INDEX('PASTE IN FPET RESULTS'!$A:$AB,0, MATCH('Review FPET Inputs'!$AE98, 'PASTE IN FPET RESULTS'!$A$1:$AB$1, 0)),  'PASTE IN FPET RESULTS'!$E:$E, $AC98, 'PASTE IN FPET RESULTS'!$F:$F, $AD98, 'PASTE IN FPET RESULTS'!$D:$D, 'Review FPET Inputs'!X$92)</f>
        <v>0</v>
      </c>
      <c r="Y98" s="709">
        <f>SUMIFS(INDEX('PASTE IN FPET RESULTS'!$A:$AB,0, MATCH('Review FPET Inputs'!$AE98, 'PASTE IN FPET RESULTS'!$A$1:$AB$1, 0)),  'PASTE IN FPET RESULTS'!$E:$E, $AC98, 'PASTE IN FPET RESULTS'!$F:$F, $AD98, 'PASTE IN FPET RESULTS'!$D:$D, 'Review FPET Inputs'!Y$92)</f>
        <v>0</v>
      </c>
      <c r="Z98" s="709">
        <f>SUMIFS(INDEX('PASTE IN FPET RESULTS'!$A:$AB,0, MATCH('Review FPET Inputs'!$AE98, 'PASTE IN FPET RESULTS'!$A$1:$AB$1, 0)),  'PASTE IN FPET RESULTS'!$E:$E, $AC98, 'PASTE IN FPET RESULTS'!$F:$F, $AD98, 'PASTE IN FPET RESULTS'!$D:$D, 'Review FPET Inputs'!Z$92)</f>
        <v>0</v>
      </c>
      <c r="AA98" s="709">
        <f>SUMIFS(INDEX('PASTE IN FPET RESULTS'!$A:$AB,0, MATCH('Review FPET Inputs'!$AE98, 'PASTE IN FPET RESULTS'!$A$1:$AB$1, 0)),  'PASTE IN FPET RESULTS'!$E:$E, $AC98, 'PASTE IN FPET RESULTS'!$F:$F, $AD98, 'PASTE IN FPET RESULTS'!$D:$D, 'Review FPET Inputs'!AA$92)</f>
        <v>0</v>
      </c>
      <c r="AC98" s="817" t="s">
        <v>1267</v>
      </c>
      <c r="AD98" s="817">
        <v>2.5000000000000001E-2</v>
      </c>
      <c r="AE98" s="817" t="s">
        <v>1081</v>
      </c>
      <c r="AF98" s="8"/>
      <c r="AG98" s="24" t="s">
        <v>1021</v>
      </c>
      <c r="AH98" s="651" t="s">
        <v>1019</v>
      </c>
      <c r="AI98" s="622"/>
      <c r="AJ98" s="622"/>
    </row>
    <row r="99" spans="2:36" s="44" customFormat="1" ht="30" customHeight="1" x14ac:dyDescent="0.3">
      <c r="B99" s="9"/>
      <c r="C99" s="832"/>
      <c r="D99" s="631" t="str">
        <f>IF(Language="English", AG99, AH99)</f>
        <v>Traditional CP among ALL women</v>
      </c>
      <c r="E99" s="711" t="s">
        <v>505</v>
      </c>
      <c r="F99" s="711">
        <v>2.5</v>
      </c>
      <c r="G99" s="631" t="s">
        <v>1099</v>
      </c>
      <c r="H99" s="631" t="str">
        <f>G99&amp;E99&amp;F99</f>
        <v>tCPAW2.5</v>
      </c>
      <c r="I99" s="709">
        <f>SUMIFS(INDEX('PASTE IN FPET RESULTS'!$A:$AB,0, MATCH('Review FPET Inputs'!$AE99, 'PASTE IN FPET RESULTS'!$A$1:$AB$1, 0)),  'PASTE IN FPET RESULTS'!$E:$E, $AC99, 'PASTE IN FPET RESULTS'!$F:$F, $AD99, 'PASTE IN FPET RESULTS'!$D:$D, 'Review FPET Inputs'!I$92)</f>
        <v>0</v>
      </c>
      <c r="J99" s="709">
        <f>SUMIFS(INDEX('PASTE IN FPET RESULTS'!$A:$AB,0, MATCH('Review FPET Inputs'!$AE99, 'PASTE IN FPET RESULTS'!$A$1:$AB$1, 0)),  'PASTE IN FPET RESULTS'!$E:$E, $AC99, 'PASTE IN FPET RESULTS'!$F:$F, $AD99, 'PASTE IN FPET RESULTS'!$D:$D, 'Review FPET Inputs'!J$92)</f>
        <v>0</v>
      </c>
      <c r="K99" s="709">
        <f>SUMIFS(INDEX('PASTE IN FPET RESULTS'!$A:$AB,0, MATCH('Review FPET Inputs'!$AE99, 'PASTE IN FPET RESULTS'!$A$1:$AB$1, 0)),  'PASTE IN FPET RESULTS'!$E:$E, $AC99, 'PASTE IN FPET RESULTS'!$F:$F, $AD99, 'PASTE IN FPET RESULTS'!$D:$D, 'Review FPET Inputs'!K$92)</f>
        <v>0</v>
      </c>
      <c r="L99" s="709">
        <f>SUMIFS(INDEX('PASTE IN FPET RESULTS'!$A:$AB,0, MATCH('Review FPET Inputs'!$AE99, 'PASTE IN FPET RESULTS'!$A$1:$AB$1, 0)),  'PASTE IN FPET RESULTS'!$E:$E, $AC99, 'PASTE IN FPET RESULTS'!$F:$F, $AD99, 'PASTE IN FPET RESULTS'!$D:$D, 'Review FPET Inputs'!L$92)</f>
        <v>0</v>
      </c>
      <c r="M99" s="709">
        <f>SUMIFS(INDEX('PASTE IN FPET RESULTS'!$A:$AB,0, MATCH('Review FPET Inputs'!$AE99, 'PASTE IN FPET RESULTS'!$A$1:$AB$1, 0)),  'PASTE IN FPET RESULTS'!$E:$E, $AC99, 'PASTE IN FPET RESULTS'!$F:$F, $AD99, 'PASTE IN FPET RESULTS'!$D:$D, 'Review FPET Inputs'!M$92)</f>
        <v>0</v>
      </c>
      <c r="N99" s="709">
        <f>SUMIFS(INDEX('PASTE IN FPET RESULTS'!$A:$AB,0, MATCH('Review FPET Inputs'!$AE99, 'PASTE IN FPET RESULTS'!$A$1:$AB$1, 0)),  'PASTE IN FPET RESULTS'!$E:$E, $AC99, 'PASTE IN FPET RESULTS'!$F:$F, $AD99, 'PASTE IN FPET RESULTS'!$D:$D, 'Review FPET Inputs'!N$92)</f>
        <v>0</v>
      </c>
      <c r="O99" s="709">
        <f>SUMIFS(INDEX('PASTE IN FPET RESULTS'!$A:$AB,0, MATCH('Review FPET Inputs'!$AE99, 'PASTE IN FPET RESULTS'!$A$1:$AB$1, 0)),  'PASTE IN FPET RESULTS'!$E:$E, $AC99, 'PASTE IN FPET RESULTS'!$F:$F, $AD99, 'PASTE IN FPET RESULTS'!$D:$D, 'Review FPET Inputs'!O$92)</f>
        <v>0</v>
      </c>
      <c r="P99" s="709">
        <f>SUMIFS(INDEX('PASTE IN FPET RESULTS'!$A:$AB,0, MATCH('Review FPET Inputs'!$AE99, 'PASTE IN FPET RESULTS'!$A$1:$AB$1, 0)),  'PASTE IN FPET RESULTS'!$E:$E, $AC99, 'PASTE IN FPET RESULTS'!$F:$F, $AD99, 'PASTE IN FPET RESULTS'!$D:$D, 'Review FPET Inputs'!P$92)</f>
        <v>0</v>
      </c>
      <c r="Q99" s="709">
        <f>SUMIFS(INDEX('PASTE IN FPET RESULTS'!$A:$AB,0, MATCH('Review FPET Inputs'!$AE99, 'PASTE IN FPET RESULTS'!$A$1:$AB$1, 0)),  'PASTE IN FPET RESULTS'!$E:$E, $AC99, 'PASTE IN FPET RESULTS'!$F:$F, $AD99, 'PASTE IN FPET RESULTS'!$D:$D, 'Review FPET Inputs'!Q$92)</f>
        <v>0</v>
      </c>
      <c r="R99" s="709">
        <f>SUMIFS(INDEX('PASTE IN FPET RESULTS'!$A:$AB,0, MATCH('Review FPET Inputs'!$AE99, 'PASTE IN FPET RESULTS'!$A$1:$AB$1, 0)),  'PASTE IN FPET RESULTS'!$E:$E, $AC99, 'PASTE IN FPET RESULTS'!$F:$F, $AD99, 'PASTE IN FPET RESULTS'!$D:$D, 'Review FPET Inputs'!R$92)</f>
        <v>0</v>
      </c>
      <c r="S99" s="709">
        <f>SUMIFS(INDEX('PASTE IN FPET RESULTS'!$A:$AB,0, MATCH('Review FPET Inputs'!$AE99, 'PASTE IN FPET RESULTS'!$A$1:$AB$1, 0)),  'PASTE IN FPET RESULTS'!$E:$E, $AC99, 'PASTE IN FPET RESULTS'!$F:$F, $AD99, 'PASTE IN FPET RESULTS'!$D:$D, 'Review FPET Inputs'!S$92)</f>
        <v>0</v>
      </c>
      <c r="T99" s="709">
        <f>SUMIFS(INDEX('PASTE IN FPET RESULTS'!$A:$AB,0, MATCH('Review FPET Inputs'!$AE99, 'PASTE IN FPET RESULTS'!$A$1:$AB$1, 0)),  'PASTE IN FPET RESULTS'!$E:$E, $AC99, 'PASTE IN FPET RESULTS'!$F:$F, $AD99, 'PASTE IN FPET RESULTS'!$D:$D, 'Review FPET Inputs'!T$92)</f>
        <v>0</v>
      </c>
      <c r="U99" s="709">
        <f>SUMIFS(INDEX('PASTE IN FPET RESULTS'!$A:$AB,0, MATCH('Review FPET Inputs'!$AE99, 'PASTE IN FPET RESULTS'!$A$1:$AB$1, 0)),  'PASTE IN FPET RESULTS'!$E:$E, $AC99, 'PASTE IN FPET RESULTS'!$F:$F, $AD99, 'PASTE IN FPET RESULTS'!$D:$D, 'Review FPET Inputs'!U$92)</f>
        <v>0</v>
      </c>
      <c r="V99" s="709">
        <f>SUMIFS(INDEX('PASTE IN FPET RESULTS'!$A:$AB,0, MATCH('Review FPET Inputs'!$AE99, 'PASTE IN FPET RESULTS'!$A$1:$AB$1, 0)),  'PASTE IN FPET RESULTS'!$E:$E, $AC99, 'PASTE IN FPET RESULTS'!$F:$F, $AD99, 'PASTE IN FPET RESULTS'!$D:$D, 'Review FPET Inputs'!V$92)</f>
        <v>0</v>
      </c>
      <c r="W99" s="709">
        <f>SUMIFS(INDEX('PASTE IN FPET RESULTS'!$A:$AB,0, MATCH('Review FPET Inputs'!$AE99, 'PASTE IN FPET RESULTS'!$A$1:$AB$1, 0)),  'PASTE IN FPET RESULTS'!$E:$E, $AC99, 'PASTE IN FPET RESULTS'!$F:$F, $AD99, 'PASTE IN FPET RESULTS'!$D:$D, 'Review FPET Inputs'!W$92)</f>
        <v>0</v>
      </c>
      <c r="X99" s="709">
        <f>SUMIFS(INDEX('PASTE IN FPET RESULTS'!$A:$AB,0, MATCH('Review FPET Inputs'!$AE99, 'PASTE IN FPET RESULTS'!$A$1:$AB$1, 0)),  'PASTE IN FPET RESULTS'!$E:$E, $AC99, 'PASTE IN FPET RESULTS'!$F:$F, $AD99, 'PASTE IN FPET RESULTS'!$D:$D, 'Review FPET Inputs'!X$92)</f>
        <v>0</v>
      </c>
      <c r="Y99" s="709">
        <f>SUMIFS(INDEX('PASTE IN FPET RESULTS'!$A:$AB,0, MATCH('Review FPET Inputs'!$AE99, 'PASTE IN FPET RESULTS'!$A$1:$AB$1, 0)),  'PASTE IN FPET RESULTS'!$E:$E, $AC99, 'PASTE IN FPET RESULTS'!$F:$F, $AD99, 'PASTE IN FPET RESULTS'!$D:$D, 'Review FPET Inputs'!Y$92)</f>
        <v>0</v>
      </c>
      <c r="Z99" s="709">
        <f>SUMIFS(INDEX('PASTE IN FPET RESULTS'!$A:$AB,0, MATCH('Review FPET Inputs'!$AE99, 'PASTE IN FPET RESULTS'!$A$1:$AB$1, 0)),  'PASTE IN FPET RESULTS'!$E:$E, $AC99, 'PASTE IN FPET RESULTS'!$F:$F, $AD99, 'PASTE IN FPET RESULTS'!$D:$D, 'Review FPET Inputs'!Z$92)</f>
        <v>0</v>
      </c>
      <c r="AA99" s="709">
        <f>SUMIFS(INDEX('PASTE IN FPET RESULTS'!$A:$AB,0, MATCH('Review FPET Inputs'!$AE99, 'PASTE IN FPET RESULTS'!$A$1:$AB$1, 0)),  'PASTE IN FPET RESULTS'!$E:$E, $AC99, 'PASTE IN FPET RESULTS'!$F:$F, $AD99, 'PASTE IN FPET RESULTS'!$D:$D, 'Review FPET Inputs'!AA$92)</f>
        <v>0</v>
      </c>
      <c r="AC99" s="817" t="s">
        <v>1268</v>
      </c>
      <c r="AD99" s="817">
        <v>2.5000000000000001E-2</v>
      </c>
      <c r="AE99" s="817" t="s">
        <v>1081</v>
      </c>
      <c r="AF99" s="681"/>
      <c r="AG99" s="24" t="s">
        <v>1020</v>
      </c>
      <c r="AH99" s="651" t="s">
        <v>1019</v>
      </c>
      <c r="AI99" s="622"/>
      <c r="AJ99" s="622"/>
    </row>
    <row r="100" spans="2:36" s="9" customFormat="1" ht="10.199999999999999" customHeight="1" x14ac:dyDescent="0.3">
      <c r="AC100" s="716"/>
      <c r="AD100" s="716"/>
      <c r="AE100" s="716"/>
      <c r="AF100" s="8"/>
      <c r="AG100" s="647" t="s">
        <v>1013</v>
      </c>
      <c r="AH100" s="647" t="s">
        <v>968</v>
      </c>
    </row>
    <row r="101" spans="2:36" s="9" customFormat="1" ht="30" customHeight="1" x14ac:dyDescent="0.3">
      <c r="C101" s="832" t="str">
        <f>IF(Language="English", AG100, AH100)</f>
        <v>Upper Bound (97.5 Percentile)</v>
      </c>
      <c r="D101" s="631" t="str">
        <f>IF(Language="English", AG101, AH101)</f>
        <v>Traditional CP among married women</v>
      </c>
      <c r="E101" s="711" t="s">
        <v>511</v>
      </c>
      <c r="F101" s="711">
        <v>97.5</v>
      </c>
      <c r="G101" s="631" t="s">
        <v>1099</v>
      </c>
      <c r="H101" s="631" t="str">
        <f>G101&amp;E101&amp;F101</f>
        <v>tCPMW97.5</v>
      </c>
      <c r="I101" s="709">
        <f>SUMIFS(INDEX('PASTE IN FPET RESULTS'!$A:$AB,0, MATCH('Review FPET Inputs'!$AE101, 'PASTE IN FPET RESULTS'!$A$1:$AB$1, 0)),  'PASTE IN FPET RESULTS'!$E:$E, $AC101, 'PASTE IN FPET RESULTS'!$F:$F, $AD101, 'PASTE IN FPET RESULTS'!$D:$D, 'Review FPET Inputs'!I$92)</f>
        <v>0</v>
      </c>
      <c r="J101" s="709">
        <f>SUMIFS(INDEX('PASTE IN FPET RESULTS'!$A:$AB,0, MATCH('Review FPET Inputs'!$AE101, 'PASTE IN FPET RESULTS'!$A$1:$AB$1, 0)),  'PASTE IN FPET RESULTS'!$E:$E, $AC101, 'PASTE IN FPET RESULTS'!$F:$F, $AD101, 'PASTE IN FPET RESULTS'!$D:$D, 'Review FPET Inputs'!J$92)</f>
        <v>0</v>
      </c>
      <c r="K101" s="709">
        <f>SUMIFS(INDEX('PASTE IN FPET RESULTS'!$A:$AB,0, MATCH('Review FPET Inputs'!$AE101, 'PASTE IN FPET RESULTS'!$A$1:$AB$1, 0)),  'PASTE IN FPET RESULTS'!$E:$E, $AC101, 'PASTE IN FPET RESULTS'!$F:$F, $AD101, 'PASTE IN FPET RESULTS'!$D:$D, 'Review FPET Inputs'!K$92)</f>
        <v>0</v>
      </c>
      <c r="L101" s="709">
        <f>SUMIFS(INDEX('PASTE IN FPET RESULTS'!$A:$AB,0, MATCH('Review FPET Inputs'!$AE101, 'PASTE IN FPET RESULTS'!$A$1:$AB$1, 0)),  'PASTE IN FPET RESULTS'!$E:$E, $AC101, 'PASTE IN FPET RESULTS'!$F:$F, $AD101, 'PASTE IN FPET RESULTS'!$D:$D, 'Review FPET Inputs'!L$92)</f>
        <v>0</v>
      </c>
      <c r="M101" s="709">
        <f>SUMIFS(INDEX('PASTE IN FPET RESULTS'!$A:$AB,0, MATCH('Review FPET Inputs'!$AE101, 'PASTE IN FPET RESULTS'!$A$1:$AB$1, 0)),  'PASTE IN FPET RESULTS'!$E:$E, $AC101, 'PASTE IN FPET RESULTS'!$F:$F, $AD101, 'PASTE IN FPET RESULTS'!$D:$D, 'Review FPET Inputs'!M$92)</f>
        <v>0</v>
      </c>
      <c r="N101" s="709">
        <f>SUMIFS(INDEX('PASTE IN FPET RESULTS'!$A:$AB,0, MATCH('Review FPET Inputs'!$AE101, 'PASTE IN FPET RESULTS'!$A$1:$AB$1, 0)),  'PASTE IN FPET RESULTS'!$E:$E, $AC101, 'PASTE IN FPET RESULTS'!$F:$F, $AD101, 'PASTE IN FPET RESULTS'!$D:$D, 'Review FPET Inputs'!N$92)</f>
        <v>0</v>
      </c>
      <c r="O101" s="709">
        <f>SUMIFS(INDEX('PASTE IN FPET RESULTS'!$A:$AB,0, MATCH('Review FPET Inputs'!$AE101, 'PASTE IN FPET RESULTS'!$A$1:$AB$1, 0)),  'PASTE IN FPET RESULTS'!$E:$E, $AC101, 'PASTE IN FPET RESULTS'!$F:$F, $AD101, 'PASTE IN FPET RESULTS'!$D:$D, 'Review FPET Inputs'!O$92)</f>
        <v>0</v>
      </c>
      <c r="P101" s="709">
        <f>SUMIFS(INDEX('PASTE IN FPET RESULTS'!$A:$AB,0, MATCH('Review FPET Inputs'!$AE101, 'PASTE IN FPET RESULTS'!$A$1:$AB$1, 0)),  'PASTE IN FPET RESULTS'!$E:$E, $AC101, 'PASTE IN FPET RESULTS'!$F:$F, $AD101, 'PASTE IN FPET RESULTS'!$D:$D, 'Review FPET Inputs'!P$92)</f>
        <v>0</v>
      </c>
      <c r="Q101" s="709">
        <f>SUMIFS(INDEX('PASTE IN FPET RESULTS'!$A:$AB,0, MATCH('Review FPET Inputs'!$AE101, 'PASTE IN FPET RESULTS'!$A$1:$AB$1, 0)),  'PASTE IN FPET RESULTS'!$E:$E, $AC101, 'PASTE IN FPET RESULTS'!$F:$F, $AD101, 'PASTE IN FPET RESULTS'!$D:$D, 'Review FPET Inputs'!Q$92)</f>
        <v>0</v>
      </c>
      <c r="R101" s="709">
        <f>SUMIFS(INDEX('PASTE IN FPET RESULTS'!$A:$AB,0, MATCH('Review FPET Inputs'!$AE101, 'PASTE IN FPET RESULTS'!$A$1:$AB$1, 0)),  'PASTE IN FPET RESULTS'!$E:$E, $AC101, 'PASTE IN FPET RESULTS'!$F:$F, $AD101, 'PASTE IN FPET RESULTS'!$D:$D, 'Review FPET Inputs'!R$92)</f>
        <v>0</v>
      </c>
      <c r="S101" s="709">
        <f>SUMIFS(INDEX('PASTE IN FPET RESULTS'!$A:$AB,0, MATCH('Review FPET Inputs'!$AE101, 'PASTE IN FPET RESULTS'!$A$1:$AB$1, 0)),  'PASTE IN FPET RESULTS'!$E:$E, $AC101, 'PASTE IN FPET RESULTS'!$F:$F, $AD101, 'PASTE IN FPET RESULTS'!$D:$D, 'Review FPET Inputs'!S$92)</f>
        <v>0</v>
      </c>
      <c r="T101" s="709">
        <f>SUMIFS(INDEX('PASTE IN FPET RESULTS'!$A:$AB,0, MATCH('Review FPET Inputs'!$AE101, 'PASTE IN FPET RESULTS'!$A$1:$AB$1, 0)),  'PASTE IN FPET RESULTS'!$E:$E, $AC101, 'PASTE IN FPET RESULTS'!$F:$F, $AD101, 'PASTE IN FPET RESULTS'!$D:$D, 'Review FPET Inputs'!T$92)</f>
        <v>0</v>
      </c>
      <c r="U101" s="709">
        <f>SUMIFS(INDEX('PASTE IN FPET RESULTS'!$A:$AB,0, MATCH('Review FPET Inputs'!$AE101, 'PASTE IN FPET RESULTS'!$A$1:$AB$1, 0)),  'PASTE IN FPET RESULTS'!$E:$E, $AC101, 'PASTE IN FPET RESULTS'!$F:$F, $AD101, 'PASTE IN FPET RESULTS'!$D:$D, 'Review FPET Inputs'!U$92)</f>
        <v>0</v>
      </c>
      <c r="V101" s="709">
        <f>SUMIFS(INDEX('PASTE IN FPET RESULTS'!$A:$AB,0, MATCH('Review FPET Inputs'!$AE101, 'PASTE IN FPET RESULTS'!$A$1:$AB$1, 0)),  'PASTE IN FPET RESULTS'!$E:$E, $AC101, 'PASTE IN FPET RESULTS'!$F:$F, $AD101, 'PASTE IN FPET RESULTS'!$D:$D, 'Review FPET Inputs'!V$92)</f>
        <v>0</v>
      </c>
      <c r="W101" s="709">
        <f>SUMIFS(INDEX('PASTE IN FPET RESULTS'!$A:$AB,0, MATCH('Review FPET Inputs'!$AE101, 'PASTE IN FPET RESULTS'!$A$1:$AB$1, 0)),  'PASTE IN FPET RESULTS'!$E:$E, $AC101, 'PASTE IN FPET RESULTS'!$F:$F, $AD101, 'PASTE IN FPET RESULTS'!$D:$D, 'Review FPET Inputs'!W$92)</f>
        <v>0</v>
      </c>
      <c r="X101" s="709">
        <f>SUMIFS(INDEX('PASTE IN FPET RESULTS'!$A:$AB,0, MATCH('Review FPET Inputs'!$AE101, 'PASTE IN FPET RESULTS'!$A$1:$AB$1, 0)),  'PASTE IN FPET RESULTS'!$E:$E, $AC101, 'PASTE IN FPET RESULTS'!$F:$F, $AD101, 'PASTE IN FPET RESULTS'!$D:$D, 'Review FPET Inputs'!X$92)</f>
        <v>0</v>
      </c>
      <c r="Y101" s="709">
        <f>SUMIFS(INDEX('PASTE IN FPET RESULTS'!$A:$AB,0, MATCH('Review FPET Inputs'!$AE101, 'PASTE IN FPET RESULTS'!$A$1:$AB$1, 0)),  'PASTE IN FPET RESULTS'!$E:$E, $AC101, 'PASTE IN FPET RESULTS'!$F:$F, $AD101, 'PASTE IN FPET RESULTS'!$D:$D, 'Review FPET Inputs'!Y$92)</f>
        <v>0</v>
      </c>
      <c r="Z101" s="709">
        <f>SUMIFS(INDEX('PASTE IN FPET RESULTS'!$A:$AB,0, MATCH('Review FPET Inputs'!$AE101, 'PASTE IN FPET RESULTS'!$A$1:$AB$1, 0)),  'PASTE IN FPET RESULTS'!$E:$E, $AC101, 'PASTE IN FPET RESULTS'!$F:$F, $AD101, 'PASTE IN FPET RESULTS'!$D:$D, 'Review FPET Inputs'!Z$92)</f>
        <v>0</v>
      </c>
      <c r="AA101" s="709">
        <f>SUMIFS(INDEX('PASTE IN FPET RESULTS'!$A:$AB,0, MATCH('Review FPET Inputs'!$AE101, 'PASTE IN FPET RESULTS'!$A$1:$AB$1, 0)),  'PASTE IN FPET RESULTS'!$E:$E, $AC101, 'PASTE IN FPET RESULTS'!$F:$F, $AD101, 'PASTE IN FPET RESULTS'!$D:$D, 'Review FPET Inputs'!AA$92)</f>
        <v>0</v>
      </c>
      <c r="AC101" s="817" t="s">
        <v>1266</v>
      </c>
      <c r="AD101" s="817">
        <v>0.97499999999999998</v>
      </c>
      <c r="AE101" s="817" t="s">
        <v>1081</v>
      </c>
      <c r="AF101" s="8"/>
      <c r="AG101" s="24" t="s">
        <v>1022</v>
      </c>
      <c r="AH101" s="651" t="s">
        <v>1019</v>
      </c>
      <c r="AI101" s="233" t="s">
        <v>997</v>
      </c>
      <c r="AJ101" s="652" t="s">
        <v>707</v>
      </c>
    </row>
    <row r="102" spans="2:36" s="9" customFormat="1" ht="30" customHeight="1" x14ac:dyDescent="0.3">
      <c r="C102" s="832"/>
      <c r="D102" s="631" t="str">
        <f>IF(Language="English", AG102, AH102)</f>
        <v>Traditional CP among unmarried women</v>
      </c>
      <c r="E102" s="711" t="s">
        <v>1018</v>
      </c>
      <c r="F102" s="711">
        <v>97.5</v>
      </c>
      <c r="G102" s="631" t="s">
        <v>1099</v>
      </c>
      <c r="H102" s="631" t="str">
        <f>G102&amp;E102&amp;F102</f>
        <v>tCPUMW97.5</v>
      </c>
      <c r="I102" s="709">
        <f>SUMIFS(INDEX('PASTE IN FPET RESULTS'!$A:$AB,0, MATCH('Review FPET Inputs'!$AE102, 'PASTE IN FPET RESULTS'!$A$1:$AB$1, 0)),  'PASTE IN FPET RESULTS'!$E:$E, $AC102, 'PASTE IN FPET RESULTS'!$F:$F, $AD102, 'PASTE IN FPET RESULTS'!$D:$D, 'Review FPET Inputs'!I$92)</f>
        <v>0</v>
      </c>
      <c r="J102" s="709">
        <f>SUMIFS(INDEX('PASTE IN FPET RESULTS'!$A:$AB,0, MATCH('Review FPET Inputs'!$AE102, 'PASTE IN FPET RESULTS'!$A$1:$AB$1, 0)),  'PASTE IN FPET RESULTS'!$E:$E, $AC102, 'PASTE IN FPET RESULTS'!$F:$F, $AD102, 'PASTE IN FPET RESULTS'!$D:$D, 'Review FPET Inputs'!J$92)</f>
        <v>0</v>
      </c>
      <c r="K102" s="709">
        <f>SUMIFS(INDEX('PASTE IN FPET RESULTS'!$A:$AB,0, MATCH('Review FPET Inputs'!$AE102, 'PASTE IN FPET RESULTS'!$A$1:$AB$1, 0)),  'PASTE IN FPET RESULTS'!$E:$E, $AC102, 'PASTE IN FPET RESULTS'!$F:$F, $AD102, 'PASTE IN FPET RESULTS'!$D:$D, 'Review FPET Inputs'!K$92)</f>
        <v>0</v>
      </c>
      <c r="L102" s="709">
        <f>SUMIFS(INDEX('PASTE IN FPET RESULTS'!$A:$AB,0, MATCH('Review FPET Inputs'!$AE102, 'PASTE IN FPET RESULTS'!$A$1:$AB$1, 0)),  'PASTE IN FPET RESULTS'!$E:$E, $AC102, 'PASTE IN FPET RESULTS'!$F:$F, $AD102, 'PASTE IN FPET RESULTS'!$D:$D, 'Review FPET Inputs'!L$92)</f>
        <v>0</v>
      </c>
      <c r="M102" s="709">
        <f>SUMIFS(INDEX('PASTE IN FPET RESULTS'!$A:$AB,0, MATCH('Review FPET Inputs'!$AE102, 'PASTE IN FPET RESULTS'!$A$1:$AB$1, 0)),  'PASTE IN FPET RESULTS'!$E:$E, $AC102, 'PASTE IN FPET RESULTS'!$F:$F, $AD102, 'PASTE IN FPET RESULTS'!$D:$D, 'Review FPET Inputs'!M$92)</f>
        <v>0</v>
      </c>
      <c r="N102" s="709">
        <f>SUMIFS(INDEX('PASTE IN FPET RESULTS'!$A:$AB,0, MATCH('Review FPET Inputs'!$AE102, 'PASTE IN FPET RESULTS'!$A$1:$AB$1, 0)),  'PASTE IN FPET RESULTS'!$E:$E, $AC102, 'PASTE IN FPET RESULTS'!$F:$F, $AD102, 'PASTE IN FPET RESULTS'!$D:$D, 'Review FPET Inputs'!N$92)</f>
        <v>0</v>
      </c>
      <c r="O102" s="709">
        <f>SUMIFS(INDEX('PASTE IN FPET RESULTS'!$A:$AB,0, MATCH('Review FPET Inputs'!$AE102, 'PASTE IN FPET RESULTS'!$A$1:$AB$1, 0)),  'PASTE IN FPET RESULTS'!$E:$E, $AC102, 'PASTE IN FPET RESULTS'!$F:$F, $AD102, 'PASTE IN FPET RESULTS'!$D:$D, 'Review FPET Inputs'!O$92)</f>
        <v>0</v>
      </c>
      <c r="P102" s="709">
        <f>SUMIFS(INDEX('PASTE IN FPET RESULTS'!$A:$AB,0, MATCH('Review FPET Inputs'!$AE102, 'PASTE IN FPET RESULTS'!$A$1:$AB$1, 0)),  'PASTE IN FPET RESULTS'!$E:$E, $AC102, 'PASTE IN FPET RESULTS'!$F:$F, $AD102, 'PASTE IN FPET RESULTS'!$D:$D, 'Review FPET Inputs'!P$92)</f>
        <v>0</v>
      </c>
      <c r="Q102" s="709">
        <f>SUMIFS(INDEX('PASTE IN FPET RESULTS'!$A:$AB,0, MATCH('Review FPET Inputs'!$AE102, 'PASTE IN FPET RESULTS'!$A$1:$AB$1, 0)),  'PASTE IN FPET RESULTS'!$E:$E, $AC102, 'PASTE IN FPET RESULTS'!$F:$F, $AD102, 'PASTE IN FPET RESULTS'!$D:$D, 'Review FPET Inputs'!Q$92)</f>
        <v>0</v>
      </c>
      <c r="R102" s="709">
        <f>SUMIFS(INDEX('PASTE IN FPET RESULTS'!$A:$AB,0, MATCH('Review FPET Inputs'!$AE102, 'PASTE IN FPET RESULTS'!$A$1:$AB$1, 0)),  'PASTE IN FPET RESULTS'!$E:$E, $AC102, 'PASTE IN FPET RESULTS'!$F:$F, $AD102, 'PASTE IN FPET RESULTS'!$D:$D, 'Review FPET Inputs'!R$92)</f>
        <v>0</v>
      </c>
      <c r="S102" s="709">
        <f>SUMIFS(INDEX('PASTE IN FPET RESULTS'!$A:$AB,0, MATCH('Review FPET Inputs'!$AE102, 'PASTE IN FPET RESULTS'!$A$1:$AB$1, 0)),  'PASTE IN FPET RESULTS'!$E:$E, $AC102, 'PASTE IN FPET RESULTS'!$F:$F, $AD102, 'PASTE IN FPET RESULTS'!$D:$D, 'Review FPET Inputs'!S$92)</f>
        <v>0</v>
      </c>
      <c r="T102" s="709">
        <f>SUMIFS(INDEX('PASTE IN FPET RESULTS'!$A:$AB,0, MATCH('Review FPET Inputs'!$AE102, 'PASTE IN FPET RESULTS'!$A$1:$AB$1, 0)),  'PASTE IN FPET RESULTS'!$E:$E, $AC102, 'PASTE IN FPET RESULTS'!$F:$F, $AD102, 'PASTE IN FPET RESULTS'!$D:$D, 'Review FPET Inputs'!T$92)</f>
        <v>0</v>
      </c>
      <c r="U102" s="709">
        <f>SUMIFS(INDEX('PASTE IN FPET RESULTS'!$A:$AB,0, MATCH('Review FPET Inputs'!$AE102, 'PASTE IN FPET RESULTS'!$A$1:$AB$1, 0)),  'PASTE IN FPET RESULTS'!$E:$E, $AC102, 'PASTE IN FPET RESULTS'!$F:$F, $AD102, 'PASTE IN FPET RESULTS'!$D:$D, 'Review FPET Inputs'!U$92)</f>
        <v>0</v>
      </c>
      <c r="V102" s="709">
        <f>SUMIFS(INDEX('PASTE IN FPET RESULTS'!$A:$AB,0, MATCH('Review FPET Inputs'!$AE102, 'PASTE IN FPET RESULTS'!$A$1:$AB$1, 0)),  'PASTE IN FPET RESULTS'!$E:$E, $AC102, 'PASTE IN FPET RESULTS'!$F:$F, $AD102, 'PASTE IN FPET RESULTS'!$D:$D, 'Review FPET Inputs'!V$92)</f>
        <v>0</v>
      </c>
      <c r="W102" s="709">
        <f>SUMIFS(INDEX('PASTE IN FPET RESULTS'!$A:$AB,0, MATCH('Review FPET Inputs'!$AE102, 'PASTE IN FPET RESULTS'!$A$1:$AB$1, 0)),  'PASTE IN FPET RESULTS'!$E:$E, $AC102, 'PASTE IN FPET RESULTS'!$F:$F, $AD102, 'PASTE IN FPET RESULTS'!$D:$D, 'Review FPET Inputs'!W$92)</f>
        <v>0</v>
      </c>
      <c r="X102" s="709">
        <f>SUMIFS(INDEX('PASTE IN FPET RESULTS'!$A:$AB,0, MATCH('Review FPET Inputs'!$AE102, 'PASTE IN FPET RESULTS'!$A$1:$AB$1, 0)),  'PASTE IN FPET RESULTS'!$E:$E, $AC102, 'PASTE IN FPET RESULTS'!$F:$F, $AD102, 'PASTE IN FPET RESULTS'!$D:$D, 'Review FPET Inputs'!X$92)</f>
        <v>0</v>
      </c>
      <c r="Y102" s="709">
        <f>SUMIFS(INDEX('PASTE IN FPET RESULTS'!$A:$AB,0, MATCH('Review FPET Inputs'!$AE102, 'PASTE IN FPET RESULTS'!$A$1:$AB$1, 0)),  'PASTE IN FPET RESULTS'!$E:$E, $AC102, 'PASTE IN FPET RESULTS'!$F:$F, $AD102, 'PASTE IN FPET RESULTS'!$D:$D, 'Review FPET Inputs'!Y$92)</f>
        <v>0</v>
      </c>
      <c r="Z102" s="709">
        <f>SUMIFS(INDEX('PASTE IN FPET RESULTS'!$A:$AB,0, MATCH('Review FPET Inputs'!$AE102, 'PASTE IN FPET RESULTS'!$A$1:$AB$1, 0)),  'PASTE IN FPET RESULTS'!$E:$E, $AC102, 'PASTE IN FPET RESULTS'!$F:$F, $AD102, 'PASTE IN FPET RESULTS'!$D:$D, 'Review FPET Inputs'!Z$92)</f>
        <v>0</v>
      </c>
      <c r="AA102" s="709">
        <f>SUMIFS(INDEX('PASTE IN FPET RESULTS'!$A:$AB,0, MATCH('Review FPET Inputs'!$AE102, 'PASTE IN FPET RESULTS'!$A$1:$AB$1, 0)),  'PASTE IN FPET RESULTS'!$E:$E, $AC102, 'PASTE IN FPET RESULTS'!$F:$F, $AD102, 'PASTE IN FPET RESULTS'!$D:$D, 'Review FPET Inputs'!AA$92)</f>
        <v>0</v>
      </c>
      <c r="AC102" s="817" t="s">
        <v>1267</v>
      </c>
      <c r="AD102" s="817">
        <v>0.97499999999999998</v>
      </c>
      <c r="AE102" s="817" t="s">
        <v>1081</v>
      </c>
      <c r="AF102" s="8"/>
      <c r="AG102" s="24" t="s">
        <v>1021</v>
      </c>
      <c r="AH102" s="651" t="s">
        <v>1019</v>
      </c>
      <c r="AI102" s="622"/>
      <c r="AJ102" s="622"/>
    </row>
    <row r="103" spans="2:36" s="44" customFormat="1" ht="30" customHeight="1" x14ac:dyDescent="0.3">
      <c r="B103" s="9"/>
      <c r="C103" s="832"/>
      <c r="D103" s="631" t="str">
        <f>IF(Language="English", AG103, AH103)</f>
        <v>Traditional CP among ALL women</v>
      </c>
      <c r="E103" s="711" t="s">
        <v>505</v>
      </c>
      <c r="F103" s="711">
        <v>97.5</v>
      </c>
      <c r="G103" s="631" t="s">
        <v>1099</v>
      </c>
      <c r="H103" s="631" t="str">
        <f>G103&amp;E103&amp;F103</f>
        <v>tCPAW97.5</v>
      </c>
      <c r="I103" s="709">
        <f>SUMIFS(INDEX('PASTE IN FPET RESULTS'!$A:$AB,0, MATCH('Review FPET Inputs'!$AE103, 'PASTE IN FPET RESULTS'!$A$1:$AB$1, 0)),  'PASTE IN FPET RESULTS'!$E:$E, $AC103, 'PASTE IN FPET RESULTS'!$F:$F, $AD103, 'PASTE IN FPET RESULTS'!$D:$D, 'Review FPET Inputs'!I$92)</f>
        <v>0</v>
      </c>
      <c r="J103" s="709">
        <f>SUMIFS(INDEX('PASTE IN FPET RESULTS'!$A:$AB,0, MATCH('Review FPET Inputs'!$AE103, 'PASTE IN FPET RESULTS'!$A$1:$AB$1, 0)),  'PASTE IN FPET RESULTS'!$E:$E, $AC103, 'PASTE IN FPET RESULTS'!$F:$F, $AD103, 'PASTE IN FPET RESULTS'!$D:$D, 'Review FPET Inputs'!J$92)</f>
        <v>0</v>
      </c>
      <c r="K103" s="709">
        <f>SUMIFS(INDEX('PASTE IN FPET RESULTS'!$A:$AB,0, MATCH('Review FPET Inputs'!$AE103, 'PASTE IN FPET RESULTS'!$A$1:$AB$1, 0)),  'PASTE IN FPET RESULTS'!$E:$E, $AC103, 'PASTE IN FPET RESULTS'!$F:$F, $AD103, 'PASTE IN FPET RESULTS'!$D:$D, 'Review FPET Inputs'!K$92)</f>
        <v>0</v>
      </c>
      <c r="L103" s="709">
        <f>SUMIFS(INDEX('PASTE IN FPET RESULTS'!$A:$AB,0, MATCH('Review FPET Inputs'!$AE103, 'PASTE IN FPET RESULTS'!$A$1:$AB$1, 0)),  'PASTE IN FPET RESULTS'!$E:$E, $AC103, 'PASTE IN FPET RESULTS'!$F:$F, $AD103, 'PASTE IN FPET RESULTS'!$D:$D, 'Review FPET Inputs'!L$92)</f>
        <v>0</v>
      </c>
      <c r="M103" s="709">
        <f>SUMIFS(INDEX('PASTE IN FPET RESULTS'!$A:$AB,0, MATCH('Review FPET Inputs'!$AE103, 'PASTE IN FPET RESULTS'!$A$1:$AB$1, 0)),  'PASTE IN FPET RESULTS'!$E:$E, $AC103, 'PASTE IN FPET RESULTS'!$F:$F, $AD103, 'PASTE IN FPET RESULTS'!$D:$D, 'Review FPET Inputs'!M$92)</f>
        <v>0</v>
      </c>
      <c r="N103" s="709">
        <f>SUMIFS(INDEX('PASTE IN FPET RESULTS'!$A:$AB,0, MATCH('Review FPET Inputs'!$AE103, 'PASTE IN FPET RESULTS'!$A$1:$AB$1, 0)),  'PASTE IN FPET RESULTS'!$E:$E, $AC103, 'PASTE IN FPET RESULTS'!$F:$F, $AD103, 'PASTE IN FPET RESULTS'!$D:$D, 'Review FPET Inputs'!N$92)</f>
        <v>0</v>
      </c>
      <c r="O103" s="709">
        <f>SUMIFS(INDEX('PASTE IN FPET RESULTS'!$A:$AB,0, MATCH('Review FPET Inputs'!$AE103, 'PASTE IN FPET RESULTS'!$A$1:$AB$1, 0)),  'PASTE IN FPET RESULTS'!$E:$E, $AC103, 'PASTE IN FPET RESULTS'!$F:$F, $AD103, 'PASTE IN FPET RESULTS'!$D:$D, 'Review FPET Inputs'!O$92)</f>
        <v>0</v>
      </c>
      <c r="P103" s="709">
        <f>SUMIFS(INDEX('PASTE IN FPET RESULTS'!$A:$AB,0, MATCH('Review FPET Inputs'!$AE103, 'PASTE IN FPET RESULTS'!$A$1:$AB$1, 0)),  'PASTE IN FPET RESULTS'!$E:$E, $AC103, 'PASTE IN FPET RESULTS'!$F:$F, $AD103, 'PASTE IN FPET RESULTS'!$D:$D, 'Review FPET Inputs'!P$92)</f>
        <v>0</v>
      </c>
      <c r="Q103" s="709">
        <f>SUMIFS(INDEX('PASTE IN FPET RESULTS'!$A:$AB,0, MATCH('Review FPET Inputs'!$AE103, 'PASTE IN FPET RESULTS'!$A$1:$AB$1, 0)),  'PASTE IN FPET RESULTS'!$E:$E, $AC103, 'PASTE IN FPET RESULTS'!$F:$F, $AD103, 'PASTE IN FPET RESULTS'!$D:$D, 'Review FPET Inputs'!Q$92)</f>
        <v>0</v>
      </c>
      <c r="R103" s="709">
        <f>SUMIFS(INDEX('PASTE IN FPET RESULTS'!$A:$AB,0, MATCH('Review FPET Inputs'!$AE103, 'PASTE IN FPET RESULTS'!$A$1:$AB$1, 0)),  'PASTE IN FPET RESULTS'!$E:$E, $AC103, 'PASTE IN FPET RESULTS'!$F:$F, $AD103, 'PASTE IN FPET RESULTS'!$D:$D, 'Review FPET Inputs'!R$92)</f>
        <v>0</v>
      </c>
      <c r="S103" s="709">
        <f>SUMIFS(INDEX('PASTE IN FPET RESULTS'!$A:$AB,0, MATCH('Review FPET Inputs'!$AE103, 'PASTE IN FPET RESULTS'!$A$1:$AB$1, 0)),  'PASTE IN FPET RESULTS'!$E:$E, $AC103, 'PASTE IN FPET RESULTS'!$F:$F, $AD103, 'PASTE IN FPET RESULTS'!$D:$D, 'Review FPET Inputs'!S$92)</f>
        <v>0</v>
      </c>
      <c r="T103" s="709">
        <f>SUMIFS(INDEX('PASTE IN FPET RESULTS'!$A:$AB,0, MATCH('Review FPET Inputs'!$AE103, 'PASTE IN FPET RESULTS'!$A$1:$AB$1, 0)),  'PASTE IN FPET RESULTS'!$E:$E, $AC103, 'PASTE IN FPET RESULTS'!$F:$F, $AD103, 'PASTE IN FPET RESULTS'!$D:$D, 'Review FPET Inputs'!T$92)</f>
        <v>0</v>
      </c>
      <c r="U103" s="709">
        <f>SUMIFS(INDEX('PASTE IN FPET RESULTS'!$A:$AB,0, MATCH('Review FPET Inputs'!$AE103, 'PASTE IN FPET RESULTS'!$A$1:$AB$1, 0)),  'PASTE IN FPET RESULTS'!$E:$E, $AC103, 'PASTE IN FPET RESULTS'!$F:$F, $AD103, 'PASTE IN FPET RESULTS'!$D:$D, 'Review FPET Inputs'!U$92)</f>
        <v>0</v>
      </c>
      <c r="V103" s="709">
        <f>SUMIFS(INDEX('PASTE IN FPET RESULTS'!$A:$AB,0, MATCH('Review FPET Inputs'!$AE103, 'PASTE IN FPET RESULTS'!$A$1:$AB$1, 0)),  'PASTE IN FPET RESULTS'!$E:$E, $AC103, 'PASTE IN FPET RESULTS'!$F:$F, $AD103, 'PASTE IN FPET RESULTS'!$D:$D, 'Review FPET Inputs'!V$92)</f>
        <v>0</v>
      </c>
      <c r="W103" s="709">
        <f>SUMIFS(INDEX('PASTE IN FPET RESULTS'!$A:$AB,0, MATCH('Review FPET Inputs'!$AE103, 'PASTE IN FPET RESULTS'!$A$1:$AB$1, 0)),  'PASTE IN FPET RESULTS'!$E:$E, $AC103, 'PASTE IN FPET RESULTS'!$F:$F, $AD103, 'PASTE IN FPET RESULTS'!$D:$D, 'Review FPET Inputs'!W$92)</f>
        <v>0</v>
      </c>
      <c r="X103" s="709">
        <f>SUMIFS(INDEX('PASTE IN FPET RESULTS'!$A:$AB,0, MATCH('Review FPET Inputs'!$AE103, 'PASTE IN FPET RESULTS'!$A$1:$AB$1, 0)),  'PASTE IN FPET RESULTS'!$E:$E, $AC103, 'PASTE IN FPET RESULTS'!$F:$F, $AD103, 'PASTE IN FPET RESULTS'!$D:$D, 'Review FPET Inputs'!X$92)</f>
        <v>0</v>
      </c>
      <c r="Y103" s="709">
        <f>SUMIFS(INDEX('PASTE IN FPET RESULTS'!$A:$AB,0, MATCH('Review FPET Inputs'!$AE103, 'PASTE IN FPET RESULTS'!$A$1:$AB$1, 0)),  'PASTE IN FPET RESULTS'!$E:$E, $AC103, 'PASTE IN FPET RESULTS'!$F:$F, $AD103, 'PASTE IN FPET RESULTS'!$D:$D, 'Review FPET Inputs'!Y$92)</f>
        <v>0</v>
      </c>
      <c r="Z103" s="709">
        <f>SUMIFS(INDEX('PASTE IN FPET RESULTS'!$A:$AB,0, MATCH('Review FPET Inputs'!$AE103, 'PASTE IN FPET RESULTS'!$A$1:$AB$1, 0)),  'PASTE IN FPET RESULTS'!$E:$E, $AC103, 'PASTE IN FPET RESULTS'!$F:$F, $AD103, 'PASTE IN FPET RESULTS'!$D:$D, 'Review FPET Inputs'!Z$92)</f>
        <v>0</v>
      </c>
      <c r="AA103" s="709">
        <f>SUMIFS(INDEX('PASTE IN FPET RESULTS'!$A:$AB,0, MATCH('Review FPET Inputs'!$AE103, 'PASTE IN FPET RESULTS'!$A$1:$AB$1, 0)),  'PASTE IN FPET RESULTS'!$E:$E, $AC103, 'PASTE IN FPET RESULTS'!$F:$F, $AD103, 'PASTE IN FPET RESULTS'!$D:$D, 'Review FPET Inputs'!AA$92)</f>
        <v>0</v>
      </c>
      <c r="AC103" s="817" t="s">
        <v>1268</v>
      </c>
      <c r="AD103" s="817">
        <v>0.97499999999999998</v>
      </c>
      <c r="AE103" s="817" t="s">
        <v>1081</v>
      </c>
      <c r="AF103" s="681"/>
      <c r="AG103" s="24" t="s">
        <v>1020</v>
      </c>
      <c r="AH103" s="651" t="s">
        <v>1019</v>
      </c>
      <c r="AI103" s="622"/>
      <c r="AJ103" s="622"/>
    </row>
    <row r="104" spans="2:36" s="9" customFormat="1" ht="33" customHeight="1" x14ac:dyDescent="0.3">
      <c r="AC104" s="716"/>
      <c r="AD104" s="716"/>
      <c r="AE104" s="716"/>
      <c r="AF104" s="8"/>
    </row>
    <row r="105" spans="2:36" ht="21.6" customHeight="1" x14ac:dyDescent="0.3">
      <c r="C105" s="864" t="str">
        <f>IF(Language="English", AG105, AH105)</f>
        <v>Next: Review Indicator Assumptions</v>
      </c>
      <c r="D105" s="864" t="str">
        <f t="shared" ref="D105:L106" si="0">IF(Language="English", AG105, AH105)</f>
        <v>Next: Review Indicator Assumptions</v>
      </c>
      <c r="E105" s="864" t="str">
        <f t="shared" si="0"/>
        <v>Prochain: Examiner les hypothèses relatives aux indicateurs</v>
      </c>
      <c r="F105" s="864">
        <f t="shared" si="0"/>
        <v>0</v>
      </c>
      <c r="G105" s="864">
        <f t="shared" si="0"/>
        <v>0</v>
      </c>
      <c r="H105" s="864">
        <f t="shared" si="0"/>
        <v>0</v>
      </c>
      <c r="I105" s="864">
        <f t="shared" si="0"/>
        <v>0</v>
      </c>
      <c r="J105" s="864">
        <f t="shared" si="0"/>
        <v>0</v>
      </c>
      <c r="K105" s="864">
        <f t="shared" si="0"/>
        <v>0</v>
      </c>
      <c r="L105" s="864">
        <f t="shared" si="0"/>
        <v>0</v>
      </c>
      <c r="AC105" s="716"/>
      <c r="AD105" s="716"/>
      <c r="AE105" s="716"/>
      <c r="AF105" s="8"/>
      <c r="AG105" s="41" t="s">
        <v>1120</v>
      </c>
      <c r="AH105" t="s">
        <v>1121</v>
      </c>
    </row>
    <row r="106" spans="2:36" ht="21.6" customHeight="1" x14ac:dyDescent="0.3">
      <c r="C106" s="864">
        <f>IF(Language="English", AF106, AG106)</f>
        <v>0</v>
      </c>
      <c r="D106" s="864" t="str">
        <f t="shared" si="0"/>
        <v>Review Pre-Loaded Assumption Data</v>
      </c>
      <c r="E106" s="864">
        <f t="shared" si="0"/>
        <v>0</v>
      </c>
      <c r="F106" s="864">
        <f t="shared" si="0"/>
        <v>0</v>
      </c>
      <c r="G106" s="864">
        <f t="shared" si="0"/>
        <v>0</v>
      </c>
      <c r="H106" s="864">
        <f t="shared" si="0"/>
        <v>0</v>
      </c>
      <c r="I106" s="864">
        <f t="shared" si="0"/>
        <v>0</v>
      </c>
      <c r="J106" s="864">
        <f t="shared" si="0"/>
        <v>0</v>
      </c>
      <c r="K106" s="864">
        <f t="shared" si="0"/>
        <v>0</v>
      </c>
      <c r="L106" s="864">
        <f t="shared" si="0"/>
        <v>0</v>
      </c>
      <c r="AC106" s="716"/>
      <c r="AD106" s="716"/>
      <c r="AE106" s="716"/>
      <c r="AF106" s="8"/>
      <c r="AG106" s="41" t="s">
        <v>1064</v>
      </c>
    </row>
    <row r="107" spans="2:36" s="9" customFormat="1" ht="10.199999999999999" customHeight="1" x14ac:dyDescent="0.3">
      <c r="AC107" s="716"/>
      <c r="AD107" s="716"/>
      <c r="AE107" s="716"/>
      <c r="AF107" s="8"/>
      <c r="AG107" s="20"/>
      <c r="AH107" s="20"/>
    </row>
    <row r="108" spans="2:36" x14ac:dyDescent="0.3">
      <c r="D108" s="9"/>
      <c r="F108" s="9"/>
      <c r="G108" s="9"/>
      <c r="H108" s="9"/>
      <c r="AC108" s="716"/>
      <c r="AD108" s="716"/>
      <c r="AE108" s="716"/>
      <c r="AF108" s="8"/>
      <c r="AG108" s="20"/>
      <c r="AH108" s="20"/>
    </row>
    <row r="109" spans="2:36" x14ac:dyDescent="0.3">
      <c r="D109" s="9"/>
      <c r="F109" s="9"/>
      <c r="G109" s="9"/>
      <c r="H109" s="9"/>
      <c r="AC109" s="716"/>
      <c r="AD109" s="716"/>
      <c r="AE109" s="716"/>
      <c r="AF109" s="8"/>
      <c r="AG109" s="20"/>
      <c r="AH109" s="20"/>
    </row>
    <row r="110" spans="2:36" ht="16.2" customHeight="1" x14ac:dyDescent="0.3">
      <c r="D110" s="9"/>
      <c r="F110" s="9"/>
      <c r="G110" s="9"/>
      <c r="H110" s="9"/>
      <c r="AC110" s="716"/>
      <c r="AD110" s="716"/>
      <c r="AE110" s="716"/>
      <c r="AF110" s="8"/>
      <c r="AG110" s="20"/>
      <c r="AH110" s="20"/>
    </row>
    <row r="111" spans="2:36" ht="29.25" customHeight="1" x14ac:dyDescent="0.3">
      <c r="D111" s="9"/>
      <c r="F111" s="9"/>
      <c r="G111" s="9"/>
      <c r="H111" s="9"/>
      <c r="AC111" s="716"/>
      <c r="AD111" s="716"/>
      <c r="AE111" s="716"/>
      <c r="AF111" s="8"/>
      <c r="AG111" s="20"/>
      <c r="AH111" s="20"/>
    </row>
    <row r="112" spans="2:36" ht="29.25" customHeight="1" x14ac:dyDescent="0.3">
      <c r="D112" s="9"/>
      <c r="F112" s="9"/>
      <c r="G112" s="9"/>
      <c r="H112" s="9"/>
      <c r="AC112" s="716"/>
      <c r="AD112" s="716"/>
      <c r="AE112" s="716"/>
      <c r="AF112" s="8"/>
      <c r="AG112" s="20"/>
      <c r="AH112" s="20"/>
    </row>
    <row r="113" spans="4:34" ht="7.5" customHeight="1" x14ac:dyDescent="0.3">
      <c r="D113" s="9"/>
      <c r="F113" s="9"/>
      <c r="G113" s="9"/>
      <c r="H113" s="9"/>
      <c r="AC113" s="716"/>
      <c r="AD113" s="716"/>
      <c r="AE113" s="716"/>
      <c r="AF113" s="8"/>
      <c r="AG113" s="20"/>
      <c r="AH113" s="20"/>
    </row>
    <row r="114" spans="4:34" x14ac:dyDescent="0.3">
      <c r="D114" s="9"/>
      <c r="F114" s="9"/>
      <c r="G114" s="9"/>
      <c r="H114" s="9"/>
      <c r="AC114" s="716"/>
      <c r="AD114" s="716"/>
      <c r="AE114" s="716"/>
      <c r="AF114" s="8"/>
      <c r="AG114" s="20"/>
      <c r="AH114" s="20"/>
    </row>
    <row r="115" spans="4:34" ht="28.5" customHeight="1" x14ac:dyDescent="0.3">
      <c r="D115" s="9"/>
      <c r="F115" s="9"/>
      <c r="G115" s="9"/>
      <c r="H115" s="9"/>
      <c r="AC115" s="716"/>
      <c r="AD115" s="716"/>
      <c r="AE115" s="716"/>
      <c r="AF115" s="8"/>
      <c r="AG115" s="20"/>
      <c r="AH115" s="20"/>
    </row>
    <row r="116" spans="4:34" ht="29.25" customHeight="1" x14ac:dyDescent="0.3">
      <c r="D116" s="9"/>
      <c r="F116" s="9"/>
      <c r="G116" s="9"/>
      <c r="H116" s="9"/>
      <c r="AC116" s="716"/>
      <c r="AD116" s="716"/>
      <c r="AE116" s="716"/>
      <c r="AF116" s="8"/>
      <c r="AG116" s="20"/>
      <c r="AH116" s="20"/>
    </row>
    <row r="117" spans="4:34" ht="29.25" customHeight="1" x14ac:dyDescent="0.3">
      <c r="D117" s="9"/>
      <c r="F117" s="9"/>
      <c r="G117" s="9"/>
      <c r="H117" s="9"/>
      <c r="AC117" s="716"/>
      <c r="AD117" s="716"/>
      <c r="AE117" s="716"/>
      <c r="AF117" s="8"/>
      <c r="AG117" s="20"/>
      <c r="AH117" s="20"/>
    </row>
    <row r="118" spans="4:34" ht="29.25" customHeight="1" x14ac:dyDescent="0.3">
      <c r="D118" s="9"/>
      <c r="F118" s="9"/>
      <c r="G118" s="9"/>
      <c r="H118" s="9"/>
      <c r="AC118" s="716"/>
      <c r="AD118" s="716"/>
      <c r="AE118" s="716"/>
      <c r="AF118" s="8"/>
      <c r="AG118" s="20"/>
      <c r="AH118" s="20"/>
    </row>
    <row r="119" spans="4:34" ht="29.25" customHeight="1" x14ac:dyDescent="0.3">
      <c r="D119" s="9"/>
      <c r="F119" s="9"/>
      <c r="G119" s="9"/>
      <c r="H119" s="9"/>
      <c r="AC119" s="716"/>
      <c r="AD119" s="716"/>
      <c r="AE119" s="716"/>
      <c r="AF119" s="8"/>
      <c r="AG119" s="20"/>
      <c r="AH119" s="20"/>
    </row>
    <row r="120" spans="4:34" x14ac:dyDescent="0.3">
      <c r="D120" s="9"/>
      <c r="F120" s="9"/>
      <c r="G120" s="9"/>
      <c r="H120" s="9"/>
      <c r="AC120" s="716"/>
      <c r="AD120" s="716"/>
      <c r="AE120" s="716"/>
      <c r="AF120" s="8"/>
      <c r="AG120" s="20"/>
      <c r="AH120" s="20"/>
    </row>
    <row r="121" spans="4:34" x14ac:dyDescent="0.3">
      <c r="D121" s="9"/>
      <c r="F121" s="9"/>
      <c r="G121" s="9"/>
      <c r="H121" s="9"/>
      <c r="AC121" s="716"/>
      <c r="AD121" s="716"/>
      <c r="AE121" s="716"/>
      <c r="AF121" s="8"/>
      <c r="AG121" s="20"/>
      <c r="AH121" s="20"/>
    </row>
    <row r="122" spans="4:34" ht="28.5" customHeight="1" x14ac:dyDescent="0.3">
      <c r="D122" s="9"/>
      <c r="F122" s="9"/>
      <c r="G122" s="9"/>
      <c r="H122" s="9"/>
      <c r="AC122" s="716"/>
      <c r="AD122" s="716"/>
      <c r="AE122" s="716"/>
      <c r="AF122" s="8"/>
      <c r="AG122" s="20"/>
      <c r="AH122" s="20"/>
    </row>
    <row r="123" spans="4:34" ht="29.25" customHeight="1" x14ac:dyDescent="0.3">
      <c r="D123" s="9"/>
      <c r="F123" s="9"/>
      <c r="G123" s="9"/>
      <c r="H123" s="9"/>
      <c r="AC123" s="716"/>
      <c r="AD123" s="716"/>
      <c r="AE123" s="716"/>
      <c r="AF123" s="8"/>
      <c r="AG123" s="20"/>
      <c r="AH123" s="20"/>
    </row>
    <row r="124" spans="4:34" ht="29.25" customHeight="1" x14ac:dyDescent="0.3"/>
    <row r="125" spans="4:34" ht="29.25" customHeight="1" x14ac:dyDescent="0.3"/>
    <row r="126" spans="4:34" ht="29.25" customHeight="1" x14ac:dyDescent="0.3"/>
    <row r="128" spans="4:34" ht="24.75" hidden="1" customHeight="1" x14ac:dyDescent="0.3"/>
    <row r="129" ht="6.75" customHeight="1" x14ac:dyDescent="0.3"/>
    <row r="130" ht="32.25" customHeight="1" x14ac:dyDescent="0.3"/>
    <row r="131" ht="15.75" customHeight="1" x14ac:dyDescent="0.3"/>
    <row r="132" ht="31.2" customHeight="1" x14ac:dyDescent="0.3"/>
    <row r="133" ht="12" customHeight="1" x14ac:dyDescent="0.3"/>
    <row r="146" ht="56.4" customHeight="1" x14ac:dyDescent="0.3"/>
    <row r="147" ht="26.4" customHeight="1" x14ac:dyDescent="0.3"/>
    <row r="148" ht="62.25" customHeight="1" x14ac:dyDescent="0.3"/>
    <row r="150" ht="32.25" customHeight="1" x14ac:dyDescent="0.3"/>
    <row r="153" ht="9.75" customHeight="1" x14ac:dyDescent="0.3"/>
    <row r="156" ht="9.75" customHeight="1" x14ac:dyDescent="0.3"/>
    <row r="157" ht="8.25" customHeight="1" x14ac:dyDescent="0.3"/>
    <row r="158" ht="27.6" customHeight="1" x14ac:dyDescent="0.3"/>
    <row r="160" ht="32.25" customHeight="1" x14ac:dyDescent="0.3"/>
    <row r="161" ht="15" customHeight="1" x14ac:dyDescent="0.3"/>
    <row r="162" ht="17.25" customHeight="1" x14ac:dyDescent="0.3"/>
    <row r="163" ht="13.5" customHeight="1" x14ac:dyDescent="0.3"/>
    <row r="167" ht="25.5" customHeight="1" x14ac:dyDescent="0.3"/>
    <row r="170" ht="32.25" customHeight="1" x14ac:dyDescent="0.3"/>
    <row r="171" ht="15" customHeight="1" x14ac:dyDescent="0.3"/>
    <row r="172" ht="34.5" customHeight="1" x14ac:dyDescent="0.3"/>
    <row r="173" ht="9" customHeight="1" x14ac:dyDescent="0.3"/>
    <row r="180" ht="32.25" hidden="1" customHeight="1" x14ac:dyDescent="0.3"/>
    <row r="181" ht="13.5" hidden="1" customHeight="1" x14ac:dyDescent="0.3"/>
    <row r="182" ht="15" hidden="1" customHeight="1" x14ac:dyDescent="0.3"/>
    <row r="183" ht="15.75" hidden="1" customHeight="1" x14ac:dyDescent="0.3"/>
    <row r="184" hidden="1" x14ac:dyDescent="0.3"/>
    <row r="185" hidden="1" x14ac:dyDescent="0.3"/>
    <row r="186" hidden="1" x14ac:dyDescent="0.3"/>
    <row r="187" ht="33" hidden="1" customHeight="1" x14ac:dyDescent="0.3"/>
    <row r="188" ht="4.5" hidden="1" customHeight="1" x14ac:dyDescent="0.3"/>
    <row r="189" ht="15.75" hidden="1" customHeight="1" x14ac:dyDescent="0.3"/>
    <row r="190" ht="18" hidden="1" customHeight="1" thickBot="1" x14ac:dyDescent="0.35"/>
    <row r="191" ht="32.25" customHeight="1" x14ac:dyDescent="0.3"/>
    <row r="195" ht="33" customHeight="1" x14ac:dyDescent="0.3"/>
    <row r="214" hidden="1" x14ac:dyDescent="0.3"/>
    <row r="215" hidden="1" x14ac:dyDescent="0.3"/>
    <row r="217" ht="32.25" customHeight="1" x14ac:dyDescent="0.3"/>
    <row r="218" ht="21.75" customHeight="1" x14ac:dyDescent="0.3"/>
    <row r="224" ht="38.25" customHeight="1" x14ac:dyDescent="0.3"/>
    <row r="238" ht="30" customHeight="1" x14ac:dyDescent="0.3"/>
    <row r="240" ht="32.25" customHeight="1" x14ac:dyDescent="0.3"/>
    <row r="242" ht="45.75" customHeight="1" x14ac:dyDescent="0.3"/>
    <row r="243" ht="32.25" customHeight="1" x14ac:dyDescent="0.3"/>
  </sheetData>
  <mergeCells count="37">
    <mergeCell ref="AC35:AE35"/>
    <mergeCell ref="C105:L106"/>
    <mergeCell ref="C97:C99"/>
    <mergeCell ref="C101:C103"/>
    <mergeCell ref="D5:I5"/>
    <mergeCell ref="D6:I6"/>
    <mergeCell ref="D7:I7"/>
    <mergeCell ref="D8:I8"/>
    <mergeCell ref="D9:I9"/>
    <mergeCell ref="K11:AB11"/>
    <mergeCell ref="B53:AB53"/>
    <mergeCell ref="C56:C59"/>
    <mergeCell ref="N5:R6"/>
    <mergeCell ref="B35:AB35"/>
    <mergeCell ref="K24:AB24"/>
    <mergeCell ref="N7:R8"/>
    <mergeCell ref="C61:C64"/>
    <mergeCell ref="C66:C69"/>
    <mergeCell ref="I13:K13"/>
    <mergeCell ref="C38:C41"/>
    <mergeCell ref="C43:C46"/>
    <mergeCell ref="C48:C51"/>
    <mergeCell ref="I15:K15"/>
    <mergeCell ref="D17:U17"/>
    <mergeCell ref="B36:AB36"/>
    <mergeCell ref="B54:AB54"/>
    <mergeCell ref="B26:D27"/>
    <mergeCell ref="D18:U22"/>
    <mergeCell ref="B29:U29"/>
    <mergeCell ref="C93:C95"/>
    <mergeCell ref="B71:AB71"/>
    <mergeCell ref="C74:C77"/>
    <mergeCell ref="C79:C82"/>
    <mergeCell ref="C84:C87"/>
    <mergeCell ref="B72:AB72"/>
    <mergeCell ref="B91:AB91"/>
    <mergeCell ref="K90:AB90"/>
  </mergeCells>
  <conditionalFormatting sqref="I93:AA95 I97:AA99 I101:AA103">
    <cfRule type="expression" dxfId="14" priority="20">
      <formula>$AF$91=1</formula>
    </cfRule>
  </conditionalFormatting>
  <dataValidations count="2">
    <dataValidation type="list" allowBlank="1" showInputMessage="1" showErrorMessage="1" sqref="I15" xr:uid="{00000000-0002-0000-0200-000000000000}">
      <formula1>$AN$5:$AN$6</formula1>
    </dataValidation>
    <dataValidation type="list" allowBlank="1" showInputMessage="1" showErrorMessage="1" sqref="D7" xr:uid="{00000000-0002-0000-0200-000001000000}">
      <formula1>$AK$5:$AK$6</formula1>
    </dataValidation>
  </dataValidations>
  <hyperlinks>
    <hyperlink ref="C105:L106" location="'Assumption Review'!A1" tooltip="Next / Prochain" display="'Assumption Review'!A1" xr:uid="{B1F935E5-4CC2-4D7B-86EB-6ECEB1EFD34A}"/>
    <hyperlink ref="B26:D27" location="'PASTE IN FPET RESULTS'!A1" tooltip="FPET Results / Resultats de FPET" display="'PASTE IN FPET RESULTS'!A1" xr:uid="{9FDDFC77-B88D-42AE-BA7C-DC5144BF5F73}"/>
  </hyperlinks>
  <pageMargins left="0.7" right="0.7" top="0.75" bottom="0.75" header="0.3" footer="0.3"/>
  <pageSetup orientation="portrait" horizontalDpi="360" verticalDpi="36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'WPP 2019'!$B$3:$B$201</xm:f>
          </x14:formula1>
          <xm:sqref>D5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autoPageBreaks="0" fitToPage="1"/>
  </sheetPr>
  <dimension ref="A1:AZ205"/>
  <sheetViews>
    <sheetView showGridLines="0" zoomScale="70" zoomScaleNormal="70" workbookViewId="0">
      <selection activeCell="S49" sqref="S49"/>
    </sheetView>
  </sheetViews>
  <sheetFormatPr defaultColWidth="9.109375" defaultRowHeight="14.4" x14ac:dyDescent="0.3"/>
  <cols>
    <col min="1" max="1" width="2.33203125" customWidth="1"/>
    <col min="2" max="2" width="4.6640625" customWidth="1"/>
    <col min="3" max="8" width="14.33203125" customWidth="1"/>
    <col min="9" max="9" width="4.88671875" customWidth="1"/>
    <col min="10" max="15" width="14.33203125" customWidth="1"/>
    <col min="16" max="17" width="4.109375" customWidth="1"/>
    <col min="18" max="18" width="15" customWidth="1"/>
    <col min="19" max="19" width="28" customWidth="1"/>
    <col min="20" max="20" width="33.44140625" customWidth="1"/>
    <col min="21" max="21" width="32.5546875" customWidth="1"/>
    <col min="22" max="23" width="15.6640625" customWidth="1"/>
    <col min="24" max="24" width="19.6640625" customWidth="1"/>
    <col min="25" max="31" width="15.6640625" customWidth="1"/>
    <col min="32" max="40" width="14" customWidth="1"/>
    <col min="41" max="41" width="6.33203125" customWidth="1"/>
    <col min="42" max="44" width="32.88671875" customWidth="1"/>
    <col min="45" max="51" width="10.88671875" customWidth="1"/>
    <col min="52" max="52" width="9.109375" customWidth="1"/>
  </cols>
  <sheetData>
    <row r="1" spans="2:52" s="9" customFormat="1" ht="20.25" customHeight="1" x14ac:dyDescent="0.3">
      <c r="B1" s="119"/>
      <c r="C1" s="119"/>
      <c r="D1" s="119"/>
      <c r="E1" s="119"/>
      <c r="F1" s="119"/>
      <c r="G1" s="119"/>
      <c r="H1" s="119"/>
      <c r="I1" s="119"/>
      <c r="J1" s="119"/>
      <c r="K1" s="119"/>
      <c r="L1" s="119"/>
      <c r="M1" s="119"/>
      <c r="N1" s="119"/>
      <c r="O1" s="119"/>
      <c r="P1" s="119"/>
      <c r="Q1" s="793"/>
      <c r="W1" s="13"/>
      <c r="AP1" s="207" t="s">
        <v>13</v>
      </c>
      <c r="AQ1" s="208" t="s">
        <v>580</v>
      </c>
    </row>
    <row r="2" spans="2:52" s="9" customFormat="1" ht="90" customHeight="1" x14ac:dyDescent="0.3">
      <c r="B2" s="120"/>
      <c r="C2" s="1074" t="str">
        <f>'Review FPET Inputs'!$D$5&amp;" : "&amp;IF(Language=English, AP3, AQ3)</f>
        <v xml:space="preserve"> : Assessing Progress in Family Planning, 2022</v>
      </c>
      <c r="D2" s="1074"/>
      <c r="E2" s="1074"/>
      <c r="F2" s="1074"/>
      <c r="G2" s="1074"/>
      <c r="H2" s="1074"/>
      <c r="I2" s="1074"/>
      <c r="J2" s="1074"/>
      <c r="K2" s="1074"/>
      <c r="L2" s="1074"/>
      <c r="M2" s="1074"/>
      <c r="N2" s="1074"/>
      <c r="O2" s="1075"/>
      <c r="P2" s="121"/>
      <c r="Q2" s="794"/>
      <c r="S2" s="1076" t="s">
        <v>921</v>
      </c>
      <c r="T2" s="1076"/>
      <c r="U2" s="1080" t="s">
        <v>697</v>
      </c>
      <c r="V2" s="1080"/>
      <c r="W2" s="1080"/>
      <c r="X2" s="1080"/>
      <c r="Y2" s="1080"/>
      <c r="Z2" s="1080"/>
      <c r="AO2" s="9" t="str">
        <f>IF(Language=English, AP2, AQ2)</f>
        <v>Data Unavailable</v>
      </c>
      <c r="AP2" s="218" t="s">
        <v>1174</v>
      </c>
      <c r="AQ2" t="s">
        <v>1175</v>
      </c>
    </row>
    <row r="3" spans="2:52" s="9" customFormat="1" ht="10.5" customHeight="1" x14ac:dyDescent="0.3">
      <c r="B3" s="122"/>
      <c r="C3" s="123"/>
      <c r="D3" s="122"/>
      <c r="E3" s="122"/>
      <c r="F3" s="122"/>
      <c r="G3" s="122"/>
      <c r="H3" s="122"/>
      <c r="I3" s="122"/>
      <c r="J3" s="122"/>
      <c r="K3" s="122"/>
      <c r="L3" s="122"/>
      <c r="M3" s="122"/>
      <c r="N3" s="122"/>
      <c r="O3" s="122"/>
      <c r="P3" s="121"/>
      <c r="Q3" s="794"/>
      <c r="U3"/>
      <c r="W3" s="13"/>
      <c r="AP3" s="209" t="str">
        <f>"Assessing Progress in Family Planning, "&amp;$T$4</f>
        <v>Assessing Progress in Family Planning, 2022</v>
      </c>
      <c r="AQ3" s="220" t="str">
        <f>"Évaluation de Progrès en Planification Familiale, "&amp;$T$4</f>
        <v>Évaluation de Progrès en Planification Familiale, 2022</v>
      </c>
    </row>
    <row r="4" spans="2:52" s="9" customFormat="1" ht="31.2" customHeight="1" thickBot="1" x14ac:dyDescent="0.35">
      <c r="B4" s="124"/>
      <c r="D4" s="265"/>
      <c r="E4" s="265"/>
      <c r="F4" s="265"/>
      <c r="G4" s="265"/>
      <c r="H4" s="265"/>
      <c r="I4" s="265"/>
      <c r="J4" s="265"/>
      <c r="K4" s="265"/>
      <c r="L4" s="265"/>
      <c r="M4" s="265"/>
      <c r="N4" s="265"/>
      <c r="O4" s="599" t="str">
        <f>IF(Language = "English", AP4,AQ4)&amp;IF(T5="", "", ", "&amp;T5)</f>
        <v>Analysis by Track20 M&amp;E Officer</v>
      </c>
      <c r="P4"/>
      <c r="Q4" s="795"/>
      <c r="S4" s="342" t="str">
        <f>IF(Language = "English", AP5,AQ5)</f>
        <v>Current Year:</v>
      </c>
      <c r="T4" s="385">
        <v>2022</v>
      </c>
      <c r="U4"/>
      <c r="W4" s="13"/>
      <c r="AP4" s="218" t="s">
        <v>583</v>
      </c>
      <c r="AQ4" s="219" t="s">
        <v>1220</v>
      </c>
    </row>
    <row r="5" spans="2:52" s="9" customFormat="1" ht="30" customHeight="1" thickTop="1" thickBot="1" x14ac:dyDescent="0.45">
      <c r="B5" s="416"/>
      <c r="C5" s="1041" t="str">
        <f>IF(Language = "English", AP6,AQ6)</f>
        <v>2022 Family Planning Snapshot</v>
      </c>
      <c r="D5" s="1041"/>
      <c r="E5" s="1041"/>
      <c r="F5" s="1041"/>
      <c r="G5" s="1041"/>
      <c r="H5" s="1041"/>
      <c r="I5" s="1041"/>
      <c r="J5" s="1041"/>
      <c r="K5" s="1041"/>
      <c r="L5" s="1041"/>
      <c r="M5" s="1041"/>
      <c r="N5" s="1041"/>
      <c r="O5" s="1041"/>
      <c r="P5" s="416"/>
      <c r="Q5" s="796"/>
      <c r="S5" s="342" t="s">
        <v>629</v>
      </c>
      <c r="T5" s="596"/>
      <c r="U5"/>
      <c r="W5" s="13"/>
      <c r="X5" s="112"/>
      <c r="AP5" s="226" t="s">
        <v>576</v>
      </c>
      <c r="AQ5" s="221" t="s">
        <v>592</v>
      </c>
    </row>
    <row r="6" spans="2:52" s="9" customFormat="1" ht="9.75" customHeight="1" thickTop="1" x14ac:dyDescent="0.3">
      <c r="Q6" s="795"/>
      <c r="T6" s="557"/>
      <c r="X6" s="112"/>
      <c r="AP6" s="333" t="str">
        <f>T4&amp;" Family Planning Snapshot"</f>
        <v>2022 Family Planning Snapshot</v>
      </c>
      <c r="AQ6" s="221" t="str">
        <f>T4&amp;" Planification Familiale Aperçu"</f>
        <v>2022 Planification Familiale Aperçu</v>
      </c>
    </row>
    <row r="7" spans="2:52" s="9" customFormat="1" ht="19.2" customHeight="1" x14ac:dyDescent="0.3">
      <c r="C7" s="1059" t="str">
        <f>IF(Language="English", AP7, AQ7)</f>
        <v>Key Indicators among All Women</v>
      </c>
      <c r="D7" s="1059"/>
      <c r="E7" s="1059"/>
      <c r="F7" s="1059"/>
      <c r="G7" s="1059"/>
      <c r="H7" s="1059"/>
      <c r="J7" s="1059" t="str">
        <f>IF(Language=English, AP8, AQ8)</f>
        <v>Key Indicators among Married Women</v>
      </c>
      <c r="K7" s="1059"/>
      <c r="L7" s="1059"/>
      <c r="M7" s="1059"/>
      <c r="N7" s="1059"/>
      <c r="O7" s="1059"/>
      <c r="Q7" s="795"/>
      <c r="S7" s="342" t="s">
        <v>789</v>
      </c>
      <c r="T7" s="597"/>
      <c r="X7" s="112"/>
      <c r="AP7" s="333" t="s">
        <v>1143</v>
      </c>
      <c r="AQ7" s="221" t="s">
        <v>1142</v>
      </c>
    </row>
    <row r="8" spans="2:52" s="9" customFormat="1" ht="36.6" customHeight="1" x14ac:dyDescent="0.3">
      <c r="C8" s="1060" t="str">
        <f>IF(Language = English, AR12, AR14)</f>
        <v>mCPR (AW)</v>
      </c>
      <c r="D8" s="1060"/>
      <c r="E8" s="1060"/>
      <c r="F8" s="1060" t="str">
        <f>IF(Language = English, AU12, AU14)</f>
        <v>Total Users</v>
      </c>
      <c r="G8" s="1060"/>
      <c r="H8" s="1060"/>
      <c r="J8" s="1060" t="str">
        <f>IF(Language = English, AW12, AW14)</f>
        <v>mCPR (MW)</v>
      </c>
      <c r="K8" s="1060"/>
      <c r="L8" s="1060"/>
      <c r="M8" s="1060" t="str">
        <f>IF(Language = English, AZ12, AZ14)</f>
        <v>Total Married Users</v>
      </c>
      <c r="N8" s="1060"/>
      <c r="O8" s="1060"/>
      <c r="Q8" s="795"/>
      <c r="S8" s="342" t="s">
        <v>790</v>
      </c>
      <c r="T8" s="596"/>
      <c r="X8" s="112"/>
      <c r="AP8" s="333" t="s">
        <v>1144</v>
      </c>
      <c r="AQ8" s="9" t="s">
        <v>1141</v>
      </c>
    </row>
    <row r="9" spans="2:52" s="716" customFormat="1" ht="48" hidden="1" customHeight="1" x14ac:dyDescent="0.3">
      <c r="C9" s="1042" t="s">
        <v>1133</v>
      </c>
      <c r="D9" s="1043"/>
      <c r="E9" s="1044"/>
      <c r="F9" s="1042" t="s">
        <v>1135</v>
      </c>
      <c r="G9" s="1043"/>
      <c r="H9" s="1044"/>
      <c r="J9" s="1042" t="s">
        <v>1134</v>
      </c>
      <c r="K9" s="1043"/>
      <c r="L9" s="1044"/>
      <c r="M9" s="1042" t="s">
        <v>1136</v>
      </c>
      <c r="N9" s="1043"/>
      <c r="O9" s="1044"/>
      <c r="Q9" s="795"/>
      <c r="S9" s="700"/>
      <c r="T9" s="774"/>
      <c r="X9" s="112"/>
      <c r="AP9" s="333"/>
      <c r="AQ9" s="221"/>
    </row>
    <row r="10" spans="2:52" s="9" customFormat="1" ht="48" customHeight="1" x14ac:dyDescent="0.3">
      <c r="C10" s="1061">
        <f>VLOOKUP(C9, 'Indicator Calculations'!$A$8:$Z$40, MATCH($T$4, 'Indicator Calculations'!$A$7:$Z$7, 0), FALSE)</f>
        <v>0</v>
      </c>
      <c r="D10" s="1062"/>
      <c r="E10" s="1063"/>
      <c r="F10" s="1064" t="e">
        <f>HLOOKUP(T4, 'Annual Results'!$C$9:$U$12, 4, FALSE)</f>
        <v>#N/A</v>
      </c>
      <c r="G10" s="1065"/>
      <c r="H10" s="1066"/>
      <c r="J10" s="1061">
        <f>VLOOKUP(J9, 'Indicator Calculations'!$A$8:$Z$40, MATCH($T$4, 'Indicator Calculations'!$A$7:$Z$7, 0), FALSE)</f>
        <v>0</v>
      </c>
      <c r="K10" s="1062"/>
      <c r="L10" s="1063"/>
      <c r="M10" s="1064" t="e">
        <f>HLOOKUP(T4,'Annual Results'!$C$20:$U$23, 4, FALSE)</f>
        <v>#N/A</v>
      </c>
      <c r="N10" s="1065"/>
      <c r="O10" s="1066"/>
      <c r="Q10" s="795"/>
      <c r="S10" s="342" t="s">
        <v>1227</v>
      </c>
      <c r="T10" s="596"/>
      <c r="X10" s="112"/>
      <c r="AO10" s="9" t="str">
        <f>IF(Language="English", AP10, AQ10)</f>
        <v>Not Available</v>
      </c>
      <c r="AP10" s="333" t="s">
        <v>783</v>
      </c>
      <c r="AQ10" s="221" t="s">
        <v>784</v>
      </c>
    </row>
    <row r="11" spans="2:52" s="8" customFormat="1" ht="11.25" customHeight="1" x14ac:dyDescent="0.3">
      <c r="C11" s="418"/>
      <c r="D11" s="418"/>
      <c r="E11" s="413"/>
      <c r="F11" s="413"/>
      <c r="G11" s="413"/>
      <c r="H11" s="413"/>
      <c r="J11" s="418"/>
      <c r="K11" s="418"/>
      <c r="L11" s="413"/>
      <c r="M11" s="413"/>
      <c r="N11" s="413"/>
      <c r="O11" s="413"/>
      <c r="Q11" s="463"/>
      <c r="T11" s="598"/>
      <c r="X11" s="414"/>
      <c r="AP11" s="333"/>
      <c r="AQ11" s="415"/>
    </row>
    <row r="12" spans="2:52" s="13" customFormat="1" ht="33" customHeight="1" x14ac:dyDescent="0.35">
      <c r="C12" s="1060" t="str">
        <f>IF(Language = English, AS12, AS14)</f>
        <v>Unmet Need* 
(AW)</v>
      </c>
      <c r="D12" s="1060"/>
      <c r="E12" s="1060"/>
      <c r="F12" s="1060" t="str">
        <f>IF(Language = English, AT12, AT14)</f>
        <v>Demand Satisfied* (AW)</v>
      </c>
      <c r="G12" s="1060"/>
      <c r="H12" s="1060"/>
      <c r="I12" s="346"/>
      <c r="J12" s="1060" t="str">
        <f>IF(Language = English, AX12, AX14)</f>
        <v>Unmet Need* (MW)</v>
      </c>
      <c r="K12" s="1060"/>
      <c r="L12" s="1060"/>
      <c r="M12" s="1060" t="str">
        <f>IF(Language = English, AY12, AY14)</f>
        <v>Demand Satisfied* (MW)</v>
      </c>
      <c r="N12" s="1060"/>
      <c r="O12" s="1060"/>
      <c r="Q12" s="797"/>
      <c r="S12" s="700"/>
      <c r="T12" s="45"/>
      <c r="X12" s="93"/>
      <c r="AR12" s="146" t="s">
        <v>677</v>
      </c>
      <c r="AS12" s="13" t="s">
        <v>788</v>
      </c>
      <c r="AT12" s="13" t="s">
        <v>785</v>
      </c>
      <c r="AU12" s="13" t="s">
        <v>687</v>
      </c>
      <c r="AV12" s="13" t="s">
        <v>695</v>
      </c>
      <c r="AW12" s="13" t="s">
        <v>516</v>
      </c>
      <c r="AX12" s="13" t="s">
        <v>678</v>
      </c>
      <c r="AY12" s="13" t="s">
        <v>689</v>
      </c>
      <c r="AZ12" s="13" t="s">
        <v>1132</v>
      </c>
    </row>
    <row r="13" spans="2:52" s="13" customFormat="1" ht="42.75" hidden="1" customHeight="1" x14ac:dyDescent="0.35">
      <c r="C13" s="1042" t="s">
        <v>1137</v>
      </c>
      <c r="D13" s="1043"/>
      <c r="E13" s="1044"/>
      <c r="F13" s="1042" t="s">
        <v>1138</v>
      </c>
      <c r="G13" s="1043"/>
      <c r="H13" s="1044"/>
      <c r="I13" s="346"/>
      <c r="J13" s="1042" t="s">
        <v>1139</v>
      </c>
      <c r="K13" s="1043"/>
      <c r="L13" s="1044"/>
      <c r="M13" s="1042" t="s">
        <v>1140</v>
      </c>
      <c r="N13" s="1043"/>
      <c r="O13" s="1044"/>
      <c r="Q13" s="797"/>
      <c r="S13" s="700"/>
      <c r="T13" s="45"/>
      <c r="X13" s="93"/>
      <c r="AR13" s="750"/>
    </row>
    <row r="14" spans="2:52" s="9" customFormat="1" ht="36.75" customHeight="1" x14ac:dyDescent="0.3">
      <c r="C14" s="1061">
        <f>VLOOKUP(C13, 'Indicator Calculations'!$A$8:$Z$40, MATCH($T$4, 'Indicator Calculations'!$A$7:$Z$7, 0), FALSE)</f>
        <v>0</v>
      </c>
      <c r="D14" s="1062"/>
      <c r="E14" s="1063"/>
      <c r="F14" s="1061">
        <f>VLOOKUP(F13, 'Indicator Calculations'!$A$8:$Z$40, MATCH($T$4, 'Indicator Calculations'!$A$7:$Z$7, 0), FALSE)</f>
        <v>0</v>
      </c>
      <c r="G14" s="1062"/>
      <c r="H14" s="1063"/>
      <c r="I14" s="417"/>
      <c r="J14" s="1061">
        <f>VLOOKUP(J13, 'Indicator Calculations'!$A$8:$Z$40, MATCH($T$4, 'Indicator Calculations'!$A$7:$Z$7, 0), FALSE)</f>
        <v>0</v>
      </c>
      <c r="K14" s="1062"/>
      <c r="L14" s="1063"/>
      <c r="M14" s="1061">
        <f>VLOOKUP(M13, 'Indicator Calculations'!$A$8:$Z$40, MATCH($T$4, 'Indicator Calculations'!$A$7:$Z$7, 0), FALSE)</f>
        <v>0</v>
      </c>
      <c r="N14" s="1062"/>
      <c r="O14" s="1063"/>
      <c r="Q14" s="795"/>
      <c r="S14" s="700"/>
      <c r="T14" s="44"/>
      <c r="V14" s="8"/>
      <c r="W14" s="8"/>
      <c r="AR14" s="343" t="s">
        <v>686</v>
      </c>
      <c r="AS14" s="13" t="s">
        <v>786</v>
      </c>
      <c r="AT14" s="13" t="s">
        <v>787</v>
      </c>
      <c r="AU14" s="9" t="s">
        <v>949</v>
      </c>
      <c r="AV14" s="9" t="s">
        <v>948</v>
      </c>
      <c r="AW14" s="9" t="s">
        <v>691</v>
      </c>
      <c r="AX14" s="9" t="s">
        <v>692</v>
      </c>
      <c r="AY14" s="13" t="s">
        <v>696</v>
      </c>
      <c r="AZ14" s="716" t="s">
        <v>1131</v>
      </c>
    </row>
    <row r="15" spans="2:52" s="9" customFormat="1" ht="14.25" customHeight="1" x14ac:dyDescent="0.3">
      <c r="C15" s="141" t="str">
        <f>IF(Language=English, AP17, AQ17)</f>
        <v>Note: AW = All Women, MW=Married Women</v>
      </c>
      <c r="J15" s="141" t="str">
        <f>IF(Language=English, AP16, AQ16)</f>
        <v>*refer to need and demand for modern methods of contraception</v>
      </c>
      <c r="Q15" s="795"/>
      <c r="AP15" s="218"/>
      <c r="AQ15" s="219"/>
    </row>
    <row r="16" spans="2:52" s="9" customFormat="1" ht="10.5" customHeight="1" x14ac:dyDescent="0.3">
      <c r="Q16" s="795"/>
      <c r="AP16" s="338" t="s">
        <v>693</v>
      </c>
      <c r="AQ16" s="338" t="s">
        <v>1221</v>
      </c>
    </row>
    <row r="17" spans="2:46" s="9" customFormat="1" ht="10.5" hidden="1" customHeight="1" x14ac:dyDescent="0.3">
      <c r="D17"/>
      <c r="E17"/>
      <c r="F17"/>
      <c r="G17"/>
      <c r="H17"/>
      <c r="I17"/>
      <c r="K17"/>
      <c r="L17"/>
      <c r="M17"/>
      <c r="N17"/>
      <c r="O17"/>
      <c r="Q17" s="795"/>
      <c r="AP17" s="210" t="s">
        <v>688</v>
      </c>
      <c r="AQ17" s="220" t="s">
        <v>690</v>
      </c>
    </row>
    <row r="18" spans="2:46" s="9" customFormat="1" ht="30" customHeight="1" x14ac:dyDescent="0.4">
      <c r="B18" s="416"/>
      <c r="C18" s="1041" t="str">
        <f>IF(Language = "English", AP18,AQ18)</f>
        <v>Comparing national goal and current progress</v>
      </c>
      <c r="D18" s="1041"/>
      <c r="E18" s="1041"/>
      <c r="F18" s="1041"/>
      <c r="G18" s="1041"/>
      <c r="H18" s="1041"/>
      <c r="I18" s="1041"/>
      <c r="J18" s="1041"/>
      <c r="K18" s="1041"/>
      <c r="L18" s="1041"/>
      <c r="M18" s="1041"/>
      <c r="N18" s="1041"/>
      <c r="O18" s="1041"/>
      <c r="P18" s="416"/>
      <c r="Q18" s="796"/>
      <c r="U18" s="716" t="s">
        <v>123</v>
      </c>
      <c r="V18" s="716" t="s">
        <v>146</v>
      </c>
      <c r="AP18" s="209" t="s">
        <v>680</v>
      </c>
      <c r="AQ18" s="220" t="s">
        <v>1223</v>
      </c>
    </row>
    <row r="19" spans="2:46" s="9" customFormat="1" ht="12.75" customHeight="1" thickBot="1" x14ac:dyDescent="0.45">
      <c r="B19" s="345"/>
      <c r="C19" s="334"/>
      <c r="D19" s="334"/>
      <c r="E19" s="334"/>
      <c r="F19" s="334"/>
      <c r="G19" s="334"/>
      <c r="H19" s="334"/>
      <c r="I19" s="334"/>
      <c r="J19" s="334"/>
      <c r="K19" s="334"/>
      <c r="L19" s="334"/>
      <c r="M19" s="334"/>
      <c r="N19" s="334"/>
      <c r="O19" s="334"/>
      <c r="P19" s="345"/>
      <c r="Q19" s="796"/>
      <c r="AP19" s="344"/>
      <c r="AQ19" s="332"/>
    </row>
    <row r="20" spans="2:46" s="9" customFormat="1" ht="56.25" hidden="1" customHeight="1" x14ac:dyDescent="0.4">
      <c r="B20" s="345"/>
      <c r="C20" s="1073"/>
      <c r="D20" s="1073"/>
      <c r="E20" s="1073"/>
      <c r="F20" s="1073"/>
      <c r="G20" s="1073"/>
      <c r="H20" s="1073"/>
      <c r="I20" s="1073"/>
      <c r="J20" s="1073"/>
      <c r="K20" s="1073"/>
      <c r="L20" s="1073"/>
      <c r="M20" s="1073"/>
      <c r="N20" s="1073"/>
      <c r="O20" s="1073"/>
      <c r="P20" s="345"/>
      <c r="Q20" s="796"/>
      <c r="AP20" s="344"/>
      <c r="AQ20" s="332"/>
    </row>
    <row r="21" spans="2:46" s="5" customFormat="1" ht="13.5" hidden="1" customHeight="1" thickBot="1" x14ac:dyDescent="0.35">
      <c r="C21" s="334"/>
      <c r="D21" s="334"/>
      <c r="E21" s="334"/>
      <c r="F21" s="334"/>
      <c r="G21" s="334"/>
      <c r="H21" s="334"/>
      <c r="I21" s="334"/>
      <c r="J21" s="334"/>
      <c r="K21" s="334"/>
      <c r="L21" s="334"/>
      <c r="M21" s="334"/>
      <c r="N21" s="334"/>
      <c r="O21" s="334"/>
      <c r="Q21" s="795"/>
      <c r="AP21" s="335"/>
      <c r="AQ21" s="336"/>
    </row>
    <row r="22" spans="2:46" s="9" customFormat="1" ht="30" customHeight="1" thickBot="1" x14ac:dyDescent="0.35">
      <c r="B22" s="5"/>
      <c r="C22" s="1077" t="str">
        <f>IF(Language = "English", AP22,AQ22)</f>
        <v>Current Progress towards National Goal:  mCPR (All Women)</v>
      </c>
      <c r="D22" s="1077"/>
      <c r="E22" s="1077"/>
      <c r="F22" s="1077"/>
      <c r="G22" s="1077"/>
      <c r="H22" s="1077"/>
      <c r="I22" s="1077"/>
      <c r="J22" s="1077"/>
      <c r="K22" s="1077"/>
      <c r="L22" s="1077"/>
      <c r="M22" s="1077"/>
      <c r="N22" s="1077"/>
      <c r="O22" s="1077"/>
      <c r="P22" s="5"/>
      <c r="Q22" s="795"/>
      <c r="U22" s="1081" t="str">
        <f>IF(Language = "English", AP22,AQ22)</f>
        <v>Current Progress towards National Goal:  mCPR (All Women)</v>
      </c>
      <c r="V22" s="1082"/>
      <c r="W22" s="1082"/>
      <c r="X22" s="1082"/>
      <c r="Y22" s="1082"/>
      <c r="Z22" s="1082"/>
      <c r="AA22" s="1082"/>
      <c r="AB22" s="1082"/>
      <c r="AC22" s="1082"/>
      <c r="AD22" s="1082"/>
      <c r="AE22" s="1082"/>
      <c r="AF22" s="1083"/>
      <c r="AG22" s="327"/>
      <c r="AH22" s="327"/>
      <c r="AI22" s="327"/>
      <c r="AJ22" s="327"/>
      <c r="AK22" s="327"/>
      <c r="AL22" s="327"/>
      <c r="AM22" s="327"/>
      <c r="AN22" s="327"/>
      <c r="AP22" s="218" t="str">
        <f>"Current Progress towards National Goal:  "&amp;'Enter your National Goal'!W23</f>
        <v>Current Progress towards National Goal:  mCPR (All Women)</v>
      </c>
      <c r="AQ22" s="219" t="str">
        <f>"Progrès Actuel vers Objectif National : "&amp;'Enter your National Goal'!X23</f>
        <v>Progrès Actuel vers Objectif National : TPCM (toutes les femmes)</v>
      </c>
    </row>
    <row r="23" spans="2:46" s="9" customFormat="1" ht="9.75" customHeight="1" x14ac:dyDescent="0.3">
      <c r="C23" s="339"/>
      <c r="D23" s="339"/>
      <c r="E23" s="339"/>
      <c r="F23" s="339"/>
      <c r="G23" s="339"/>
      <c r="H23" s="339"/>
      <c r="I23" s="339"/>
      <c r="J23" s="339"/>
      <c r="K23" s="339"/>
      <c r="L23" s="339"/>
      <c r="M23" s="339"/>
      <c r="N23" s="339"/>
      <c r="O23" s="339"/>
      <c r="Q23" s="795"/>
      <c r="T23" s="9" t="str">
        <f>IF('Enter your National Goal'!P6=0, 'Enter your National Goal'!AB5, 'Enter your National Goal'!P6)</f>
        <v>All Women</v>
      </c>
      <c r="U23" s="126" t="str">
        <f>IF(OR('Enter your National Goal'!P6="Married women", 'Enter your National Goal'!P6="Femmes mariées"), "MW", "AW")</f>
        <v>AW</v>
      </c>
      <c r="V23" s="127"/>
      <c r="W23" s="128"/>
      <c r="X23" s="127"/>
      <c r="Y23" s="127"/>
      <c r="Z23" s="127"/>
      <c r="AA23" s="127"/>
      <c r="AB23" s="127"/>
      <c r="AC23" s="127"/>
      <c r="AD23" s="127"/>
      <c r="AE23" s="127"/>
      <c r="AF23" s="129"/>
      <c r="AG23" s="304"/>
      <c r="AH23" s="304"/>
      <c r="AI23" s="304"/>
      <c r="AJ23" s="304"/>
      <c r="AK23" s="304"/>
      <c r="AL23" s="304"/>
      <c r="AM23" s="304"/>
      <c r="AN23" s="304"/>
      <c r="AP23" s="11"/>
      <c r="AQ23" s="11"/>
    </row>
    <row r="24" spans="2:46" s="9" customFormat="1" ht="12.6" customHeight="1" x14ac:dyDescent="0.3">
      <c r="C24" s="1046"/>
      <c r="D24" s="1046"/>
      <c r="E24" s="1046"/>
      <c r="F24" s="1046"/>
      <c r="G24" s="1046"/>
      <c r="H24" s="1046"/>
      <c r="I24" s="1046"/>
      <c r="J24" s="1046"/>
      <c r="K24" s="1046"/>
      <c r="L24" s="1046"/>
      <c r="M24" s="1046"/>
      <c r="N24" s="1046"/>
      <c r="O24" s="1046"/>
      <c r="Q24" s="795"/>
      <c r="U24" s="130"/>
      <c r="V24" s="773">
        <f>'Enter your National Goal'!C21</f>
        <v>2012</v>
      </c>
      <c r="W24" s="773">
        <f>'Enter your National Goal'!D21</f>
        <v>2013</v>
      </c>
      <c r="X24" s="773">
        <f>'Enter your National Goal'!E21</f>
        <v>2014</v>
      </c>
      <c r="Y24" s="773">
        <f>'Enter your National Goal'!F21</f>
        <v>2015</v>
      </c>
      <c r="Z24" s="773">
        <f>'Enter your National Goal'!G21</f>
        <v>2016</v>
      </c>
      <c r="AA24" s="773">
        <f>'Enter your National Goal'!H21</f>
        <v>2017</v>
      </c>
      <c r="AB24" s="773">
        <f>'Enter your National Goal'!I21</f>
        <v>2018</v>
      </c>
      <c r="AC24" s="773">
        <f>'Enter your National Goal'!J21</f>
        <v>2019</v>
      </c>
      <c r="AD24" s="773">
        <f>'Enter your National Goal'!K21</f>
        <v>2020</v>
      </c>
      <c r="AE24" s="773">
        <f>'Enter your National Goal'!L21</f>
        <v>2021</v>
      </c>
      <c r="AF24" s="773">
        <f>'Enter your National Goal'!M21</f>
        <v>2022</v>
      </c>
      <c r="AG24" s="773">
        <f>'Enter your National Goal'!N21</f>
        <v>2023</v>
      </c>
      <c r="AH24" s="773">
        <f>'Enter your National Goal'!O21</f>
        <v>2024</v>
      </c>
      <c r="AI24" s="773">
        <f>'Enter your National Goal'!P21</f>
        <v>2025</v>
      </c>
      <c r="AJ24" s="773">
        <f>'Enter your National Goal'!Q21</f>
        <v>2026</v>
      </c>
      <c r="AK24" s="773">
        <f>'Enter your National Goal'!R21</f>
        <v>2027</v>
      </c>
      <c r="AL24" s="773">
        <f>'Enter your National Goal'!S21</f>
        <v>2028</v>
      </c>
      <c r="AM24" s="773">
        <f>'Enter your National Goal'!T21</f>
        <v>2029</v>
      </c>
      <c r="AN24" s="773">
        <f>'Enter your National Goal'!U21</f>
        <v>2030</v>
      </c>
      <c r="AP24" s="218" t="str">
        <f>"Average Annual Growth in 
"&amp;'Enter your National Goal'!$W$23</f>
        <v>Average Annual Growth in 
mCPR (All Women)</v>
      </c>
      <c r="AQ24" s="219" t="str">
        <f>"Croissance annuelle moyenne en 
" &amp;'Enter your National Goal'!X23</f>
        <v>Croissance annuelle moyenne en 
TPCM (toutes les femmes)</v>
      </c>
    </row>
    <row r="25" spans="2:46" s="9" customFormat="1" ht="23.4" customHeight="1" x14ac:dyDescent="0.3">
      <c r="L25" s="1048" t="str">
        <f>IF(Language="English", AP29, AQ29)</f>
        <v xml:space="preserve">Based on FPET estimates, the likelihood of achieving this goal is: </v>
      </c>
      <c r="M25" s="1048"/>
      <c r="N25" s="1049" t="e">
        <f>IF('Enter your National Goal'!S6="", NA(), 'Enter your National Goal'!S6)</f>
        <v>#N/A</v>
      </c>
      <c r="O25" s="1049"/>
      <c r="Q25" s="795"/>
      <c r="T25" s="734" t="str">
        <f>'Enter your National Goal'!$M$7&amp;'Enter your National Goal'!$P$7&amp;"50"</f>
        <v>mCPMW50</v>
      </c>
      <c r="U25" s="775" t="str">
        <f>IF(Language="English",$AP25,$AQ25)</f>
        <v>Current *</v>
      </c>
      <c r="V25" s="800">
        <f>'Enter your National Goal'!C23</f>
        <v>0</v>
      </c>
      <c r="W25" s="800">
        <f>'Enter your National Goal'!D23</f>
        <v>0</v>
      </c>
      <c r="X25" s="800">
        <f>'Enter your National Goal'!E23</f>
        <v>0</v>
      </c>
      <c r="Y25" s="800">
        <f>'Enter your National Goal'!F23</f>
        <v>0</v>
      </c>
      <c r="Z25" s="800">
        <f>'Enter your National Goal'!G23</f>
        <v>0</v>
      </c>
      <c r="AA25" s="800">
        <f>'Enter your National Goal'!H23</f>
        <v>0</v>
      </c>
      <c r="AB25" s="800">
        <f>'Enter your National Goal'!I23</f>
        <v>0</v>
      </c>
      <c r="AC25" s="800">
        <f>'Enter your National Goal'!J23</f>
        <v>0</v>
      </c>
      <c r="AD25" s="800">
        <f>'Enter your National Goal'!K23</f>
        <v>0</v>
      </c>
      <c r="AE25" s="800">
        <f>'Enter your National Goal'!L23</f>
        <v>0</v>
      </c>
      <c r="AF25" s="800">
        <f>'Enter your National Goal'!M23</f>
        <v>0</v>
      </c>
      <c r="AG25" s="800">
        <f>'Enter your National Goal'!N23</f>
        <v>0</v>
      </c>
      <c r="AH25" s="800">
        <f>'Enter your National Goal'!O23</f>
        <v>0</v>
      </c>
      <c r="AI25" s="800">
        <f>'Enter your National Goal'!P23</f>
        <v>0</v>
      </c>
      <c r="AJ25" s="800">
        <f>'Enter your National Goal'!Q23</f>
        <v>0</v>
      </c>
      <c r="AK25" s="800">
        <f>'Enter your National Goal'!R23</f>
        <v>0</v>
      </c>
      <c r="AL25" s="800">
        <f>'Enter your National Goal'!S23</f>
        <v>0</v>
      </c>
      <c r="AM25" s="800">
        <f>'Enter your National Goal'!T23</f>
        <v>0</v>
      </c>
      <c r="AN25" s="800">
        <f>'Enter your National Goal'!U23</f>
        <v>0</v>
      </c>
      <c r="AP25" s="224" t="s">
        <v>776</v>
      </c>
      <c r="AQ25" s="225" t="s">
        <v>777</v>
      </c>
    </row>
    <row r="26" spans="2:46" s="9" customFormat="1" ht="23.4" customHeight="1" x14ac:dyDescent="0.3">
      <c r="L26" s="1048"/>
      <c r="M26" s="1048"/>
      <c r="N26" s="1049"/>
      <c r="O26" s="1049"/>
      <c r="Q26" s="795"/>
      <c r="T26" s="734"/>
      <c r="U26" s="775" t="str">
        <f>IF(Language="English",$AP26,$AQ26)</f>
        <v>Goal</v>
      </c>
      <c r="V26" s="801" t="e">
        <f>IF(V24="", NA(), 'Enter your National Goal'!C22)</f>
        <v>#N/A</v>
      </c>
      <c r="W26" s="801" t="e">
        <f>IF(W24="", NA(), 'Enter your National Goal'!D22)</f>
        <v>#N/A</v>
      </c>
      <c r="X26" s="801" t="e">
        <f>IF(X24="", NA(), 'Enter your National Goal'!E22)</f>
        <v>#N/A</v>
      </c>
      <c r="Y26" s="801" t="e">
        <f>IF(Y24="", NA(), 'Enter your National Goal'!F22)</f>
        <v>#N/A</v>
      </c>
      <c r="Z26" s="801" t="e">
        <f>IF(Z24="", NA(), 'Enter your National Goal'!G22)</f>
        <v>#N/A</v>
      </c>
      <c r="AA26" s="801" t="e">
        <f>IF(AA24="", NA(), 'Enter your National Goal'!H22)</f>
        <v>#N/A</v>
      </c>
      <c r="AB26" s="801" t="e">
        <f>IF(AB24="", NA(), 'Enter your National Goal'!I22)</f>
        <v>#N/A</v>
      </c>
      <c r="AC26" s="801" t="e">
        <f>IF(AC24="", NA(), 'Enter your National Goal'!J22)</f>
        <v>#N/A</v>
      </c>
      <c r="AD26" s="801" t="e">
        <f>IF(AD24="", NA(), 'Enter your National Goal'!K22)</f>
        <v>#N/A</v>
      </c>
      <c r="AE26" s="801" t="e">
        <f>IF(AE24="", NA(), 'Enter your National Goal'!L22)</f>
        <v>#N/A</v>
      </c>
      <c r="AF26" s="801" t="e">
        <f>IF(AF24="", NA(), 'Enter your National Goal'!M22)</f>
        <v>#N/A</v>
      </c>
      <c r="AG26" s="801" t="e">
        <f>IF(AG24="", NA(), 'Enter your National Goal'!N22)</f>
        <v>#N/A</v>
      </c>
      <c r="AH26" s="801" t="e">
        <f>IF(AH24="", NA(), 'Enter your National Goal'!O22)</f>
        <v>#N/A</v>
      </c>
      <c r="AI26" s="801" t="e">
        <f>IF(AI24="", NA(), 'Enter your National Goal'!P22)</f>
        <v>#N/A</v>
      </c>
      <c r="AJ26" s="801" t="e">
        <f>IF(AJ24="", NA(), 'Enter your National Goal'!Q22)</f>
        <v>#N/A</v>
      </c>
      <c r="AK26" s="801" t="e">
        <f>IF(AK24="", NA(), 'Enter your National Goal'!R22)</f>
        <v>#N/A</v>
      </c>
      <c r="AL26" s="801" t="e">
        <f>IF(AL24="", NA(), 'Enter your National Goal'!S22)</f>
        <v>#N/A</v>
      </c>
      <c r="AM26" s="801" t="e">
        <f>IF(AM24="", NA(), 'Enter your National Goal'!T22)</f>
        <v>#N/A</v>
      </c>
      <c r="AN26" s="801" t="e">
        <f>IF(AN24="", NA(), 'Enter your National Goal'!U22)</f>
        <v>#N/A</v>
      </c>
      <c r="AP26" s="218" t="s">
        <v>508</v>
      </c>
      <c r="AQ26" s="219" t="s">
        <v>581</v>
      </c>
    </row>
    <row r="27" spans="2:46" s="9" customFormat="1" ht="23.4" customHeight="1" x14ac:dyDescent="0.3">
      <c r="L27" s="1048"/>
      <c r="M27" s="1048"/>
      <c r="N27" s="1049"/>
      <c r="O27" s="1049"/>
      <c r="Q27" s="795"/>
      <c r="T27" s="734" t="str">
        <f>'Enter your National Goal'!$M$7&amp;'Enter your National Goal'!$P$7&amp;"2.5"</f>
        <v>mCPMW2.5</v>
      </c>
      <c r="U27" s="775" t="str">
        <f>IF(Language="English",$AP27,$AQ27)</f>
        <v>95% Uncertainty Interval</v>
      </c>
      <c r="V27" s="802">
        <f>VLOOKUP($T27, 'Review FPET Inputs'!$H$37:$AB$87, MATCH(V$24,'Review FPET Inputs'!$H$37:$AA$37, 0), FALSE)</f>
        <v>0</v>
      </c>
      <c r="W27" s="802">
        <f>VLOOKUP($T27, 'Review FPET Inputs'!$H$37:$AB$87, MATCH(W$24,'Review FPET Inputs'!$H$37:$AA$37, 0), FALSE)</f>
        <v>0</v>
      </c>
      <c r="X27" s="802">
        <f>VLOOKUP($T27, 'Review FPET Inputs'!$H$37:$AB$87, MATCH(X$24,'Review FPET Inputs'!$H$37:$AA$37, 0), FALSE)</f>
        <v>0</v>
      </c>
      <c r="Y27" s="802">
        <f>VLOOKUP($T27, 'Review FPET Inputs'!$H$37:$AB$87, MATCH(Y$24,'Review FPET Inputs'!$H$37:$AA$37, 0), FALSE)</f>
        <v>0</v>
      </c>
      <c r="Z27" s="802">
        <f>VLOOKUP($T27, 'Review FPET Inputs'!$H$37:$AB$87, MATCH(Z$24,'Review FPET Inputs'!$H$37:$AA$37, 0), FALSE)</f>
        <v>0</v>
      </c>
      <c r="AA27" s="802">
        <f>VLOOKUP($T27, 'Review FPET Inputs'!$H$37:$AB$87, MATCH(AA$24,'Review FPET Inputs'!$H$37:$AA$37, 0), FALSE)</f>
        <v>0</v>
      </c>
      <c r="AB27" s="802">
        <f>VLOOKUP($T27, 'Review FPET Inputs'!$H$37:$AB$87, MATCH(AB$24,'Review FPET Inputs'!$H$37:$AA$37, 0), FALSE)</f>
        <v>0</v>
      </c>
      <c r="AC27" s="802">
        <f>VLOOKUP($T27, 'Review FPET Inputs'!$H$37:$AB$87, MATCH(AC$24,'Review FPET Inputs'!$H$37:$AA$37, 0), FALSE)</f>
        <v>0</v>
      </c>
      <c r="AD27" s="802">
        <f>VLOOKUP($T27, 'Review FPET Inputs'!$H$37:$AB$87, MATCH(AD$24,'Review FPET Inputs'!$H$37:$AA$37, 0), FALSE)</f>
        <v>0</v>
      </c>
      <c r="AE27" s="802">
        <f>VLOOKUP($T27, 'Review FPET Inputs'!$H$37:$AB$87, MATCH(AE$24,'Review FPET Inputs'!$H$37:$AA$37, 0), FALSE)</f>
        <v>0</v>
      </c>
      <c r="AF27" s="802">
        <f>VLOOKUP($T27, 'Review FPET Inputs'!$H$37:$AB$87, MATCH(AF$24,'Review FPET Inputs'!$H$37:$AA$37, 0), FALSE)</f>
        <v>0</v>
      </c>
      <c r="AG27" s="802">
        <f>VLOOKUP($T27, 'Review FPET Inputs'!$H$37:$AB$87, MATCH(AG$24,'Review FPET Inputs'!$H$37:$AA$37, 0), FALSE)</f>
        <v>0</v>
      </c>
      <c r="AH27" s="802">
        <f>VLOOKUP($T27, 'Review FPET Inputs'!$H$37:$AB$87, MATCH(AH$24,'Review FPET Inputs'!$H$37:$AA$37, 0), FALSE)</f>
        <v>0</v>
      </c>
      <c r="AI27" s="802">
        <f>VLOOKUP($T27, 'Review FPET Inputs'!$H$37:$AB$87, MATCH(AI$24,'Review FPET Inputs'!$H$37:$AA$37, 0), FALSE)</f>
        <v>0</v>
      </c>
      <c r="AJ27" s="802">
        <f>VLOOKUP($T27, 'Review FPET Inputs'!$H$37:$AB$87, MATCH(AJ$24,'Review FPET Inputs'!$H$37:$AA$37, 0), FALSE)</f>
        <v>0</v>
      </c>
      <c r="AK27" s="802">
        <f>VLOOKUP($T27, 'Review FPET Inputs'!$H$37:$AB$87, MATCH(AK$24,'Review FPET Inputs'!$H$37:$AA$37, 0), FALSE)</f>
        <v>0</v>
      </c>
      <c r="AL27" s="802">
        <f>VLOOKUP($T27, 'Review FPET Inputs'!$H$37:$AB$87, MATCH(AL$24,'Review FPET Inputs'!$H$37:$AA$37, 0), FALSE)</f>
        <v>0</v>
      </c>
      <c r="AM27" s="802">
        <f>VLOOKUP($T27, 'Review FPET Inputs'!$H$37:$AB$87, MATCH(AM$24,'Review FPET Inputs'!$H$37:$AA$37, 0), FALSE)</f>
        <v>0</v>
      </c>
      <c r="AN27" s="802">
        <f>VLOOKUP($T27, 'Review FPET Inputs'!$H$37:$AB$87, MATCH(AN$24,'Review FPET Inputs'!$H$37:$AA$37, 0), FALSE)</f>
        <v>0</v>
      </c>
      <c r="AP27" s="590" t="s">
        <v>917</v>
      </c>
      <c r="AQ27" s="13" t="s">
        <v>918</v>
      </c>
    </row>
    <row r="28" spans="2:46" s="9" customFormat="1" ht="23.4" customHeight="1" thickBot="1" x14ac:dyDescent="0.35">
      <c r="Q28" s="795"/>
      <c r="T28" s="734" t="str">
        <f>'Enter your National Goal'!$M$7&amp;'Enter your National Goal'!$P$7&amp;"97.5"</f>
        <v>mCPMW97.5</v>
      </c>
      <c r="U28" s="775" t="str">
        <f xml:space="preserve"> IF(Language="English",$AP28,$AQ28)</f>
        <v>95% Uncertainty Interval</v>
      </c>
      <c r="V28" s="802">
        <f>VLOOKUP($T28, 'Review FPET Inputs'!$H$37:$AB$87, MATCH(V$24,'Review FPET Inputs'!$H$37:$AA$37, 0), FALSE)</f>
        <v>0</v>
      </c>
      <c r="W28" s="802">
        <f>VLOOKUP($T28, 'Review FPET Inputs'!$H$37:$AB$87, MATCH(W$24,'Review FPET Inputs'!$H$37:$AA$37, 0), FALSE)</f>
        <v>0</v>
      </c>
      <c r="X28" s="802">
        <f>VLOOKUP($T28, 'Review FPET Inputs'!$H$37:$AB$87, MATCH(X$24,'Review FPET Inputs'!$H$37:$AA$37, 0), FALSE)</f>
        <v>0</v>
      </c>
      <c r="Y28" s="802">
        <f>VLOOKUP($T28, 'Review FPET Inputs'!$H$37:$AB$87, MATCH(Y$24,'Review FPET Inputs'!$H$37:$AA$37, 0), FALSE)</f>
        <v>0</v>
      </c>
      <c r="Z28" s="802">
        <f>VLOOKUP($T28, 'Review FPET Inputs'!$H$37:$AB$87, MATCH(Z$24,'Review FPET Inputs'!$H$37:$AA$37, 0), FALSE)</f>
        <v>0</v>
      </c>
      <c r="AA28" s="802">
        <f>VLOOKUP($T28, 'Review FPET Inputs'!$H$37:$AB$87, MATCH(AA$24,'Review FPET Inputs'!$H$37:$AA$37, 0), FALSE)</f>
        <v>0</v>
      </c>
      <c r="AB28" s="802">
        <f>VLOOKUP($T28, 'Review FPET Inputs'!$H$37:$AB$87, MATCH(AB$24,'Review FPET Inputs'!$H$37:$AA$37, 0), FALSE)</f>
        <v>0</v>
      </c>
      <c r="AC28" s="802">
        <f>VLOOKUP($T28, 'Review FPET Inputs'!$H$37:$AB$87, MATCH(AC$24,'Review FPET Inputs'!$H$37:$AA$37, 0), FALSE)</f>
        <v>0</v>
      </c>
      <c r="AD28" s="802">
        <f>VLOOKUP($T28, 'Review FPET Inputs'!$H$37:$AB$87, MATCH(AD$24,'Review FPET Inputs'!$H$37:$AA$37, 0), FALSE)</f>
        <v>0</v>
      </c>
      <c r="AE28" s="802">
        <f>VLOOKUP($T28, 'Review FPET Inputs'!$H$37:$AB$87, MATCH(AE$24,'Review FPET Inputs'!$H$37:$AA$37, 0), FALSE)</f>
        <v>0</v>
      </c>
      <c r="AF28" s="802">
        <f>VLOOKUP($T28, 'Review FPET Inputs'!$H$37:$AB$87, MATCH(AF$24,'Review FPET Inputs'!$H$37:$AA$37, 0), FALSE)</f>
        <v>0</v>
      </c>
      <c r="AG28" s="802">
        <f>VLOOKUP($T28, 'Review FPET Inputs'!$H$37:$AB$87, MATCH(AG$24,'Review FPET Inputs'!$H$37:$AA$37, 0), FALSE)</f>
        <v>0</v>
      </c>
      <c r="AH28" s="802">
        <f>VLOOKUP($T28, 'Review FPET Inputs'!$H$37:$AB$87, MATCH(AH$24,'Review FPET Inputs'!$H$37:$AA$37, 0), FALSE)</f>
        <v>0</v>
      </c>
      <c r="AI28" s="802">
        <f>VLOOKUP($T28, 'Review FPET Inputs'!$H$37:$AB$87, MATCH(AI$24,'Review FPET Inputs'!$H$37:$AA$37, 0), FALSE)</f>
        <v>0</v>
      </c>
      <c r="AJ28" s="802">
        <f>VLOOKUP($T28, 'Review FPET Inputs'!$H$37:$AB$87, MATCH(AJ$24,'Review FPET Inputs'!$H$37:$AA$37, 0), FALSE)</f>
        <v>0</v>
      </c>
      <c r="AK28" s="802">
        <f>VLOOKUP($T28, 'Review FPET Inputs'!$H$37:$AB$87, MATCH(AK$24,'Review FPET Inputs'!$H$37:$AA$37, 0), FALSE)</f>
        <v>0</v>
      </c>
      <c r="AL28" s="802">
        <f>VLOOKUP($T28, 'Review FPET Inputs'!$H$37:$AB$87, MATCH(AL$24,'Review FPET Inputs'!$H$37:$AA$37, 0), FALSE)</f>
        <v>0</v>
      </c>
      <c r="AM28" s="802">
        <f>VLOOKUP($T28, 'Review FPET Inputs'!$H$37:$AB$87, MATCH(AM$24,'Review FPET Inputs'!$H$37:$AA$37, 0), FALSE)</f>
        <v>0</v>
      </c>
      <c r="AN28" s="802">
        <f>VLOOKUP($T28, 'Review FPET Inputs'!$H$37:$AB$87, MATCH(AN$24,'Review FPET Inputs'!$H$37:$AA$37, 0), FALSE)</f>
        <v>0</v>
      </c>
      <c r="AP28" s="224" t="s">
        <v>917</v>
      </c>
      <c r="AQ28" s="225" t="s">
        <v>916</v>
      </c>
      <c r="AS28" s="1040"/>
      <c r="AT28" s="1040"/>
    </row>
    <row r="29" spans="2:46" s="9" customFormat="1" ht="23.4" customHeight="1" thickBot="1" x14ac:dyDescent="0.35">
      <c r="E29" s="131"/>
      <c r="F29" s="131"/>
      <c r="G29" s="131"/>
      <c r="H29" s="131"/>
      <c r="I29" s="131"/>
      <c r="J29" s="131"/>
      <c r="K29" s="131"/>
      <c r="L29" s="1047" t="str">
        <f>IF(Language=English, AP24, AQ24)</f>
        <v>Average Annual Growth in 
mCPR (All Women)</v>
      </c>
      <c r="M29" s="1047"/>
      <c r="N29" s="1047"/>
      <c r="O29" s="1047"/>
      <c r="Q29" s="795"/>
      <c r="U29" s="1084" t="str">
        <f>IF(Language="English", AP24,AQ24)</f>
        <v>Average Annual Growth in 
mCPR (All Women)</v>
      </c>
      <c r="V29" s="1085"/>
      <c r="W29" s="1085"/>
      <c r="X29" s="1085"/>
      <c r="Y29" s="1085"/>
      <c r="Z29" s="1085"/>
      <c r="AA29" s="1086"/>
      <c r="AP29" s="11" t="s">
        <v>1038</v>
      </c>
      <c r="AQ29" s="205" t="s">
        <v>1222</v>
      </c>
      <c r="AS29" s="1040"/>
      <c r="AT29" s="1040"/>
    </row>
    <row r="30" spans="2:46" s="9" customFormat="1" ht="23.4" customHeight="1" x14ac:dyDescent="0.3">
      <c r="L30" s="1047"/>
      <c r="M30" s="1047"/>
      <c r="N30" s="1047"/>
      <c r="O30" s="1047"/>
      <c r="Q30" s="795"/>
      <c r="U30" s="216" t="s">
        <v>509</v>
      </c>
      <c r="V30" s="217">
        <f>T4</f>
        <v>2022</v>
      </c>
      <c r="W30" s="132"/>
      <c r="X30" s="4"/>
      <c r="Y30" s="4"/>
      <c r="Z30" s="12" t="s">
        <v>510</v>
      </c>
      <c r="AA30" s="133"/>
      <c r="AP30" s="218"/>
      <c r="AQ30" s="219"/>
      <c r="AS30" s="1040"/>
      <c r="AT30" s="1040"/>
    </row>
    <row r="31" spans="2:46" s="9" customFormat="1" ht="23.4" customHeight="1" x14ac:dyDescent="0.3">
      <c r="L31" s="22"/>
      <c r="Q31" s="795"/>
      <c r="U31"/>
      <c r="V31"/>
      <c r="W31"/>
      <c r="X31" s="4"/>
      <c r="Y31" s="812" t="str">
        <f>IF(Language = "English", AP31,AQ31)&amp;" 
("&amp;T4&amp;" - "&amp;MAX(V24:AN24)&amp;")"</f>
        <v>To reach goal 
(2022 - 2030)</v>
      </c>
      <c r="Z31" s="337" t="e">
        <f>(HLOOKUP(MAX($V$24:$AN$24), $V$24:$AN$26, 3, FALSE)-HLOOKUP($T$4, $V$24:$AN$26, 2, FALSE))/IF((MAX($V$24:$AN$24)-$T$4)=0, 1, (MAX($V$24:$AN$24)-$T$4))</f>
        <v>#N/A</v>
      </c>
      <c r="AA31" s="133"/>
      <c r="AP31" s="227" t="str">
        <f>IF(T4=MAX($V$24:$AM$24), "Distance to goal", "To reach goal")</f>
        <v>To reach goal</v>
      </c>
      <c r="AQ31" s="219" t="str">
        <f>IF(T4=MAX($V$24:$AM$24), "Distance du but", "Pour atteindre l'objectif")</f>
        <v>Pour atteindre l'objectif</v>
      </c>
    </row>
    <row r="32" spans="2:46" s="9" customFormat="1" ht="23.4" customHeight="1" x14ac:dyDescent="0.3">
      <c r="Q32" s="795"/>
      <c r="U32"/>
      <c r="V32"/>
      <c r="W32"/>
      <c r="X32" s="4"/>
      <c r="Y32" s="812" t="str">
        <f>IF(Language = "English", AP32,AQ32)&amp;" 
("&amp;T4&amp;" - "&amp;MAX(V24:AN24)&amp;")"</f>
        <v>Current trend 
(2022 - 2030)</v>
      </c>
      <c r="Z32" s="337">
        <f>(HLOOKUP(MAX($V$24:$AN$24), $V$24:$AN$26, 2, FALSE)-HLOOKUP($T$4, $V$24:$AN$26, 2, FALSE))/IF((MAX($V$24:$AN$24)-$T$4)=0, 1, (MAX($V$24:$AN$24)-$T$4))</f>
        <v>0</v>
      </c>
      <c r="AA32" s="337"/>
      <c r="AP32" s="227" t="s">
        <v>512</v>
      </c>
      <c r="AQ32" s="219" t="s">
        <v>594</v>
      </c>
    </row>
    <row r="33" spans="2:43" s="9" customFormat="1" ht="23.4" customHeight="1" x14ac:dyDescent="0.3">
      <c r="Q33" s="795"/>
      <c r="U33" s="135"/>
      <c r="V33" s="4"/>
      <c r="W33" s="136"/>
      <c r="X33" s="4"/>
      <c r="Y33" s="134"/>
      <c r="Z33" s="337"/>
      <c r="AA33" s="137"/>
      <c r="AP33" s="227" t="s">
        <v>513</v>
      </c>
      <c r="AQ33" s="219" t="s">
        <v>593</v>
      </c>
    </row>
    <row r="34" spans="2:43" s="9" customFormat="1" ht="23.4" customHeight="1" thickBot="1" x14ac:dyDescent="0.35">
      <c r="Q34" s="795"/>
      <c r="U34" s="135"/>
      <c r="V34" s="4"/>
      <c r="W34" s="136"/>
      <c r="X34" s="4"/>
      <c r="Y34" s="4"/>
      <c r="Z34" s="4"/>
      <c r="AA34" s="133"/>
      <c r="AP34" s="218"/>
      <c r="AQ34" s="219"/>
    </row>
    <row r="35" spans="2:43" s="9" customFormat="1" ht="23.4" customHeight="1" thickBot="1" x14ac:dyDescent="0.35">
      <c r="Q35" s="795"/>
      <c r="U35" s="1050" t="s">
        <v>517</v>
      </c>
      <c r="V35" s="1051"/>
      <c r="W35" s="1052"/>
      <c r="X35" s="4"/>
      <c r="Y35" s="1067" t="s">
        <v>1130</v>
      </c>
      <c r="Z35" s="1068"/>
      <c r="AA35" s="133"/>
      <c r="AP35" s="210" t="s">
        <v>1176</v>
      </c>
      <c r="AQ35" s="220" t="s">
        <v>1224</v>
      </c>
    </row>
    <row r="36" spans="2:43" s="9" customFormat="1" ht="23.4" customHeight="1" x14ac:dyDescent="0.3">
      <c r="Q36" s="795"/>
      <c r="U36" s="592"/>
      <c r="V36" s="593"/>
      <c r="W36" s="594"/>
      <c r="X36" s="4"/>
      <c r="Y36" s="1069"/>
      <c r="Z36" s="1070"/>
      <c r="AA36" s="133"/>
      <c r="AP36" s="210" t="s">
        <v>675</v>
      </c>
      <c r="AQ36" s="220" t="s">
        <v>676</v>
      </c>
    </row>
    <row r="37" spans="2:43" s="9" customFormat="1" ht="23.4" customHeight="1" thickBot="1" x14ac:dyDescent="0.35">
      <c r="K37" s="16"/>
      <c r="Q37" s="795"/>
      <c r="U37" s="157">
        <v>0.01</v>
      </c>
      <c r="V37" s="158"/>
      <c r="W37" s="159"/>
      <c r="X37" s="138"/>
      <c r="Y37" s="1071"/>
      <c r="Z37" s="1072"/>
      <c r="AA37" s="139"/>
      <c r="AP37" s="218"/>
      <c r="AQ37" s="219"/>
    </row>
    <row r="38" spans="2:43" s="9" customFormat="1" ht="23.4" customHeight="1" x14ac:dyDescent="0.3">
      <c r="Q38" s="795"/>
      <c r="U38" s="803" t="e">
        <f>HLOOKUP(T4,'Indicator Calculations'!$E$28:$Y$31, 2, FALSE)</f>
        <v>#N/A</v>
      </c>
      <c r="V38" s="1053" t="s">
        <v>919</v>
      </c>
      <c r="W38" s="1054"/>
      <c r="AP38" s="218"/>
      <c r="AQ38" s="219"/>
    </row>
    <row r="39" spans="2:43" s="9" customFormat="1" ht="23.4" customHeight="1" thickBot="1" x14ac:dyDescent="0.35">
      <c r="K39" s="16"/>
      <c r="Q39" s="795"/>
      <c r="U39" s="804" t="e">
        <f>U38*U37</f>
        <v>#N/A</v>
      </c>
      <c r="V39" s="1055" t="s">
        <v>920</v>
      </c>
      <c r="W39" s="1056"/>
      <c r="AP39" s="218"/>
      <c r="AQ39" s="219"/>
    </row>
    <row r="40" spans="2:43" s="9" customFormat="1" ht="23.4" customHeight="1" x14ac:dyDescent="0.3">
      <c r="C40" s="1045" t="str">
        <f>IF(Language = "English", AP35,AQ35)</f>
        <v>*Current is based on 2021 FPET run</v>
      </c>
      <c r="D40" s="1045"/>
      <c r="E40" s="1045"/>
      <c r="F40" s="1045"/>
      <c r="G40" s="1045"/>
      <c r="H40" s="1045" t="str">
        <f>IF(OR('Review FPET Inputs'!I15="yes",'Review FPET Inputs'!I15="oui"),  'Progress Brief'!AO40, "")</f>
        <v/>
      </c>
      <c r="I40" s="1045"/>
      <c r="J40" s="1045"/>
      <c r="K40" s="1045"/>
      <c r="L40" s="1045"/>
      <c r="Q40" s="795"/>
      <c r="W40" s="13"/>
      <c r="AO40" s="9" t="str">
        <f>IF(Language=English, AP40, AQ40)</f>
        <v>FPET Results include Service Statistics</v>
      </c>
      <c r="AP40" s="218" t="s">
        <v>1177</v>
      </c>
      <c r="AQ40" t="s">
        <v>1178</v>
      </c>
    </row>
    <row r="41" spans="2:43" s="44" customFormat="1" ht="30" customHeight="1" x14ac:dyDescent="0.3">
      <c r="C41" s="1077" t="str">
        <f>IF(Language = "English", AP41,AQ41)</f>
        <v>Additional users per each % point increase in mCPR (All Women)</v>
      </c>
      <c r="D41" s="1077"/>
      <c r="E41" s="1077"/>
      <c r="F41" s="1077"/>
      <c r="G41" s="1077"/>
      <c r="H41" s="1077"/>
      <c r="I41" s="1077"/>
      <c r="J41" s="1077"/>
      <c r="K41" s="1077"/>
      <c r="L41" s="1077"/>
      <c r="M41" s="1077"/>
      <c r="N41" s="1077"/>
      <c r="O41" s="1077"/>
      <c r="Q41" s="798"/>
      <c r="AO41" s="13" t="e">
        <f>"In 2020, increasing mCPR (AW) by 1% point requires reaching "&amp;TEXT(MROUND(U39, 1000), "0,000")&amp;" additional users with a modern method of contraception."</f>
        <v>#N/A</v>
      </c>
      <c r="AP41" s="222" t="s">
        <v>1273</v>
      </c>
      <c r="AQ41" s="223" t="s">
        <v>1225</v>
      </c>
    </row>
    <row r="42" spans="2:43" s="408" customFormat="1" ht="10.199999999999999" customHeight="1" x14ac:dyDescent="0.3">
      <c r="C42" s="591"/>
      <c r="D42" s="591"/>
      <c r="E42" s="591"/>
      <c r="F42" s="591"/>
      <c r="G42" s="591"/>
      <c r="H42" s="591"/>
      <c r="I42" s="591"/>
      <c r="J42" s="591"/>
      <c r="K42" s="591"/>
      <c r="L42" s="591"/>
      <c r="M42" s="591"/>
      <c r="N42" s="591"/>
      <c r="O42" s="591"/>
      <c r="Q42" s="798"/>
      <c r="AP42" s="595"/>
      <c r="AQ42" s="595"/>
    </row>
    <row r="43" spans="2:43" s="9" customFormat="1" ht="36" customHeight="1" x14ac:dyDescent="0.3">
      <c r="C43" s="1100" t="str">
        <f>IF(Language = "English", AP43,AQ43)</f>
        <v xml:space="preserve">In 2022, increasing mCPR (AW) by 1% point requires reaching </v>
      </c>
      <c r="D43" s="1100"/>
      <c r="E43" s="1100"/>
      <c r="F43" s="1100"/>
      <c r="G43" s="1100"/>
      <c r="H43" s="1099" t="e">
        <f>MROUND(U39, 100)</f>
        <v>#N/A</v>
      </c>
      <c r="I43" s="1099"/>
      <c r="J43" s="1099"/>
      <c r="K43" s="1101" t="str">
        <f>IF(Language = "English", AP44,AQ44)</f>
        <v>additional users with a modern method of contraception.</v>
      </c>
      <c r="L43" s="1101"/>
      <c r="M43" s="1101"/>
      <c r="N43" s="1101"/>
      <c r="O43" s="1101"/>
      <c r="Q43" s="795"/>
      <c r="U43" s="716"/>
      <c r="V43" s="716">
        <f>V24</f>
        <v>2012</v>
      </c>
      <c r="W43" s="716">
        <f t="shared" ref="W43:AE43" si="0">W24</f>
        <v>2013</v>
      </c>
      <c r="X43" s="716">
        <f t="shared" si="0"/>
        <v>2014</v>
      </c>
      <c r="Y43" s="716">
        <f t="shared" si="0"/>
        <v>2015</v>
      </c>
      <c r="Z43" s="716">
        <f t="shared" si="0"/>
        <v>2016</v>
      </c>
      <c r="AA43" s="716">
        <f t="shared" si="0"/>
        <v>2017</v>
      </c>
      <c r="AB43" s="716">
        <f t="shared" si="0"/>
        <v>2018</v>
      </c>
      <c r="AC43" s="716">
        <f t="shared" si="0"/>
        <v>2019</v>
      </c>
      <c r="AD43" s="716">
        <f t="shared" si="0"/>
        <v>2020</v>
      </c>
      <c r="AE43" s="716">
        <f t="shared" si="0"/>
        <v>2021</v>
      </c>
      <c r="AF43" s="716"/>
      <c r="AG43" s="716"/>
      <c r="AH43" s="716"/>
      <c r="AI43" s="716"/>
      <c r="AJ43" s="716"/>
      <c r="AK43" s="716"/>
      <c r="AL43" s="716"/>
      <c r="AM43" s="716"/>
      <c r="AN43" s="716"/>
      <c r="AP43" s="210" t="str">
        <f>"In "&amp;$T$4&amp;", increasing mCPR (AW) by 1% point requires reaching "</f>
        <v xml:space="preserve">In 2022, increasing mCPR (AW) by 1% point requires reaching </v>
      </c>
      <c r="AQ43" s="220" t="str">
        <f>"Dans "&amp;$T$4&amp;", une augmentation de 1 point de pourcentage est équivalente à "</f>
        <v xml:space="preserve">Dans 2022, une augmentation de 1 point de pourcentage est équivalente à </v>
      </c>
    </row>
    <row r="44" spans="2:43" s="9" customFormat="1" ht="24" hidden="1" customHeight="1" x14ac:dyDescent="0.4">
      <c r="B44" s="416"/>
      <c r="C44" s="1041" t="s">
        <v>1151</v>
      </c>
      <c r="D44" s="1041"/>
      <c r="E44" s="1041"/>
      <c r="F44" s="1041"/>
      <c r="G44" s="1041"/>
      <c r="H44" s="1041"/>
      <c r="I44" s="1041"/>
      <c r="J44" s="1041"/>
      <c r="K44" s="1041"/>
      <c r="L44" s="1041"/>
      <c r="M44" s="1041"/>
      <c r="N44" s="1041"/>
      <c r="O44" s="1041"/>
      <c r="P44" s="416"/>
      <c r="Q44" s="796"/>
      <c r="T44" s="9" t="s">
        <v>738</v>
      </c>
      <c r="U44" s="716"/>
      <c r="V44" s="55" t="e">
        <f>ROUNDDOWN('Indicator Calculations'!G35, -3)</f>
        <v>#N/A</v>
      </c>
      <c r="W44" s="55" t="e">
        <f>ROUNDDOWN('Indicator Calculations'!H35, -3)</f>
        <v>#N/A</v>
      </c>
      <c r="X44" s="55" t="e">
        <f>ROUNDDOWN('Indicator Calculations'!I35, -3)</f>
        <v>#N/A</v>
      </c>
      <c r="Y44" s="55" t="e">
        <f>ROUNDDOWN('Indicator Calculations'!J35, -3)</f>
        <v>#N/A</v>
      </c>
      <c r="Z44" s="55" t="e">
        <f>ROUNDDOWN('Indicator Calculations'!K35, -3)</f>
        <v>#N/A</v>
      </c>
      <c r="AA44" s="55" t="e">
        <f>ROUNDDOWN('Indicator Calculations'!L35, -3)</f>
        <v>#N/A</v>
      </c>
      <c r="AB44" s="55" t="e">
        <f>ROUNDDOWN('Indicator Calculations'!M35, -3)</f>
        <v>#N/A</v>
      </c>
      <c r="AC44" s="55" t="e">
        <f>ROUNDDOWN('Indicator Calculations'!N35, -3)</f>
        <v>#N/A</v>
      </c>
      <c r="AD44" s="55" t="e">
        <f>ROUNDDOWN('Indicator Calculations'!O35, -3)</f>
        <v>#N/A</v>
      </c>
      <c r="AE44" s="55" t="e">
        <f>ROUNDDOWN('Indicator Calculations'!P35, -3)</f>
        <v>#N/A</v>
      </c>
      <c r="AF44" s="55" t="e">
        <f>(AE44-V44)</f>
        <v>#N/A</v>
      </c>
      <c r="AG44" s="55"/>
      <c r="AH44" s="55"/>
      <c r="AI44" s="55"/>
      <c r="AJ44" s="55"/>
      <c r="AK44" s="55"/>
      <c r="AL44" s="55"/>
      <c r="AM44" s="55"/>
      <c r="AN44" s="55"/>
      <c r="AO44" s="716"/>
      <c r="AP44" s="156" t="s">
        <v>679</v>
      </c>
      <c r="AQ44" t="s">
        <v>1226</v>
      </c>
    </row>
    <row r="45" spans="2:43" s="44" customFormat="1" ht="12" customHeight="1" x14ac:dyDescent="0.3">
      <c r="C45"/>
      <c r="D45"/>
      <c r="E45"/>
      <c r="F45"/>
      <c r="G45"/>
      <c r="H45"/>
      <c r="I45"/>
      <c r="J45"/>
      <c r="K45"/>
      <c r="L45"/>
      <c r="M45"/>
      <c r="N45"/>
      <c r="O45"/>
      <c r="Q45" s="798"/>
      <c r="U45" s="44" t="s">
        <v>1145</v>
      </c>
      <c r="V45" s="55" t="e">
        <f>ROUNDDOWN('Indicator Calculations'!G36, -3)</f>
        <v>#N/A</v>
      </c>
      <c r="W45" s="55" t="e">
        <f>ROUNDDOWN('Indicator Calculations'!H36, -3)</f>
        <v>#N/A</v>
      </c>
      <c r="X45" s="55" t="e">
        <f>ROUNDDOWN('Indicator Calculations'!I36, -3)</f>
        <v>#N/A</v>
      </c>
      <c r="Y45" s="55" t="e">
        <f>ROUNDDOWN('Indicator Calculations'!J36, -3)</f>
        <v>#N/A</v>
      </c>
      <c r="Z45" s="55" t="e">
        <f>ROUNDDOWN('Indicator Calculations'!K36, -3)</f>
        <v>#N/A</v>
      </c>
      <c r="AA45" s="55" t="e">
        <f>ROUNDDOWN('Indicator Calculations'!L36, -3)</f>
        <v>#N/A</v>
      </c>
      <c r="AB45" s="55" t="e">
        <f>ROUNDDOWN('Indicator Calculations'!M36, -3)</f>
        <v>#N/A</v>
      </c>
      <c r="AC45" s="55" t="e">
        <f>ROUNDDOWN('Indicator Calculations'!N36, -3)</f>
        <v>#N/A</v>
      </c>
      <c r="AD45" s="55" t="e">
        <f>ROUNDDOWN('Indicator Calculations'!O36, -3)</f>
        <v>#N/A</v>
      </c>
      <c r="AE45" s="55" t="e">
        <f>ROUNDDOWN('Indicator Calculations'!P36, -3)</f>
        <v>#N/A</v>
      </c>
      <c r="AF45" s="55" t="e">
        <f>(AE45-V45)</f>
        <v>#N/A</v>
      </c>
      <c r="AG45" s="723" t="e">
        <f>AF45/AF44</f>
        <v>#N/A</v>
      </c>
      <c r="AH45" s="55"/>
      <c r="AI45" s="55"/>
      <c r="AJ45" s="55"/>
      <c r="AK45" s="55"/>
      <c r="AL45" s="55"/>
      <c r="AM45" s="55"/>
      <c r="AN45" s="55"/>
      <c r="AP45" s="44" t="s">
        <v>518</v>
      </c>
      <c r="AQ45" s="44" t="s">
        <v>950</v>
      </c>
    </row>
    <row r="46" spans="2:43" s="9" customFormat="1" ht="24" customHeight="1" x14ac:dyDescent="0.3">
      <c r="C46" s="1077" t="str">
        <f>IF(Language = "English", AP46,AQ46)&amp;" : "&amp;T23</f>
        <v>Projecting Long-Term Trends in Contraceptive Use and Need : All Women</v>
      </c>
      <c r="D46" s="1077"/>
      <c r="E46" s="1077"/>
      <c r="F46" s="1077"/>
      <c r="G46" s="1077"/>
      <c r="H46" s="1077"/>
      <c r="I46" s="1077"/>
      <c r="J46" s="1077"/>
      <c r="K46" s="1077"/>
      <c r="L46" s="1077"/>
      <c r="M46" s="1077"/>
      <c r="N46" s="1077"/>
      <c r="O46" s="1077"/>
      <c r="Q46" s="795"/>
      <c r="U46" s="9" t="s">
        <v>1146</v>
      </c>
      <c r="V46" s="55" t="e">
        <f>V44-V45</f>
        <v>#N/A</v>
      </c>
      <c r="W46" s="55" t="e">
        <f t="shared" ref="W46:AE46" si="1">W44-W45</f>
        <v>#N/A</v>
      </c>
      <c r="X46" s="55" t="e">
        <f t="shared" si="1"/>
        <v>#N/A</v>
      </c>
      <c r="Y46" s="55" t="e">
        <f t="shared" si="1"/>
        <v>#N/A</v>
      </c>
      <c r="Z46" s="55" t="e">
        <f t="shared" si="1"/>
        <v>#N/A</v>
      </c>
      <c r="AA46" s="55" t="e">
        <f t="shared" si="1"/>
        <v>#N/A</v>
      </c>
      <c r="AB46" s="55" t="e">
        <f t="shared" si="1"/>
        <v>#N/A</v>
      </c>
      <c r="AC46" s="55" t="e">
        <f t="shared" si="1"/>
        <v>#N/A</v>
      </c>
      <c r="AD46" s="55" t="e">
        <f t="shared" si="1"/>
        <v>#N/A</v>
      </c>
      <c r="AE46" s="55" t="e">
        <f t="shared" si="1"/>
        <v>#N/A</v>
      </c>
      <c r="AF46" s="55" t="e">
        <f>(AE46-V46)</f>
        <v>#N/A</v>
      </c>
      <c r="AG46" s="723" t="e">
        <f>AF46/AF44</f>
        <v>#N/A</v>
      </c>
      <c r="AH46" s="55"/>
      <c r="AI46" s="55"/>
      <c r="AJ46" s="55"/>
      <c r="AK46" s="55"/>
      <c r="AL46" s="55"/>
      <c r="AM46" s="55"/>
      <c r="AN46" s="55"/>
      <c r="AO46" s="716"/>
      <c r="AP46" s="218" t="s">
        <v>1156</v>
      </c>
      <c r="AQ46" s="219" t="s">
        <v>1155</v>
      </c>
    </row>
    <row r="47" spans="2:43" s="716" customFormat="1" ht="16.95" customHeight="1" x14ac:dyDescent="0.3">
      <c r="K47" s="715"/>
      <c r="Q47" s="795"/>
      <c r="W47" s="13"/>
      <c r="AE47" s="735"/>
      <c r="AF47" s="735"/>
      <c r="AG47" s="735"/>
      <c r="AH47" s="735"/>
      <c r="AI47" s="735"/>
      <c r="AJ47" s="735"/>
      <c r="AK47" s="735"/>
      <c r="AL47" s="735"/>
      <c r="AM47" s="735"/>
      <c r="AN47" s="735"/>
      <c r="AP47" s="338"/>
      <c r="AQ47" s="338"/>
    </row>
    <row r="48" spans="2:43" s="716" customFormat="1" ht="16.95" customHeight="1" x14ac:dyDescent="0.3">
      <c r="K48" s="715"/>
      <c r="Q48" s="795"/>
      <c r="U48" s="716" t="s">
        <v>914</v>
      </c>
      <c r="V48" s="96" t="e">
        <f>V45/V44</f>
        <v>#N/A</v>
      </c>
      <c r="W48" s="96" t="e">
        <f t="shared" ref="W48:AE48" si="2">W45/W44</f>
        <v>#N/A</v>
      </c>
      <c r="X48" s="96" t="e">
        <f t="shared" si="2"/>
        <v>#N/A</v>
      </c>
      <c r="Y48" s="96" t="e">
        <f t="shared" si="2"/>
        <v>#N/A</v>
      </c>
      <c r="Z48" s="96" t="e">
        <f t="shared" si="2"/>
        <v>#N/A</v>
      </c>
      <c r="AA48" s="96" t="e">
        <f t="shared" si="2"/>
        <v>#N/A</v>
      </c>
      <c r="AB48" s="96" t="e">
        <f t="shared" si="2"/>
        <v>#N/A</v>
      </c>
      <c r="AC48" s="96" t="e">
        <f t="shared" si="2"/>
        <v>#N/A</v>
      </c>
      <c r="AD48" s="96" t="e">
        <f t="shared" si="2"/>
        <v>#N/A</v>
      </c>
      <c r="AE48" s="96" t="e">
        <f t="shared" si="2"/>
        <v>#N/A</v>
      </c>
      <c r="AF48" s="96"/>
      <c r="AG48" s="96"/>
      <c r="AH48" s="96"/>
      <c r="AI48" s="96"/>
      <c r="AJ48" s="96"/>
      <c r="AK48" s="96"/>
      <c r="AL48" s="96"/>
      <c r="AM48" s="96"/>
      <c r="AN48" s="96"/>
      <c r="AP48" s="338"/>
      <c r="AQ48" s="338"/>
    </row>
    <row r="49" spans="11:43" s="716" customFormat="1" ht="16.95" customHeight="1" x14ac:dyDescent="0.3">
      <c r="K49" s="715"/>
      <c r="Q49" s="795"/>
      <c r="U49" s="716" t="s">
        <v>1147</v>
      </c>
      <c r="V49" s="96" t="e">
        <f>V46/V44</f>
        <v>#N/A</v>
      </c>
      <c r="W49" s="96" t="e">
        <f t="shared" ref="W49:AE49" si="3">W46/W44</f>
        <v>#N/A</v>
      </c>
      <c r="X49" s="96" t="e">
        <f t="shared" si="3"/>
        <v>#N/A</v>
      </c>
      <c r="Y49" s="96" t="e">
        <f t="shared" si="3"/>
        <v>#N/A</v>
      </c>
      <c r="Z49" s="96" t="e">
        <f t="shared" si="3"/>
        <v>#N/A</v>
      </c>
      <c r="AA49" s="96" t="e">
        <f t="shared" si="3"/>
        <v>#N/A</v>
      </c>
      <c r="AB49" s="96" t="e">
        <f t="shared" si="3"/>
        <v>#N/A</v>
      </c>
      <c r="AC49" s="96" t="e">
        <f t="shared" si="3"/>
        <v>#N/A</v>
      </c>
      <c r="AD49" s="96" t="e">
        <f t="shared" si="3"/>
        <v>#N/A</v>
      </c>
      <c r="AE49" s="96" t="e">
        <f t="shared" si="3"/>
        <v>#N/A</v>
      </c>
      <c r="AF49" s="96"/>
      <c r="AG49" s="96"/>
      <c r="AH49" s="96"/>
      <c r="AI49" s="96"/>
      <c r="AJ49" s="96"/>
      <c r="AK49" s="96"/>
      <c r="AL49" s="96"/>
      <c r="AM49" s="96"/>
      <c r="AN49" s="96"/>
      <c r="AP49" s="338"/>
      <c r="AQ49" s="338"/>
    </row>
    <row r="50" spans="11:43" s="716" customFormat="1" ht="16.95" customHeight="1" x14ac:dyDescent="0.3">
      <c r="K50" s="715"/>
      <c r="Q50" s="795"/>
      <c r="W50" s="13"/>
      <c r="AE50" s="735"/>
      <c r="AF50" s="735"/>
      <c r="AG50" s="735"/>
      <c r="AH50" s="735"/>
      <c r="AI50" s="735"/>
      <c r="AJ50" s="735"/>
      <c r="AK50" s="735"/>
      <c r="AL50" s="735"/>
      <c r="AM50" s="735"/>
      <c r="AN50" s="735"/>
      <c r="AP50" s="338"/>
      <c r="AQ50" s="338"/>
    </row>
    <row r="51" spans="11:43" s="716" customFormat="1" ht="16.95" customHeight="1" x14ac:dyDescent="0.3">
      <c r="K51" s="715"/>
      <c r="Q51" s="795"/>
      <c r="V51" s="716">
        <v>2012</v>
      </c>
      <c r="W51" s="716">
        <v>2013</v>
      </c>
      <c r="X51" s="716">
        <v>2014</v>
      </c>
      <c r="Y51" s="716">
        <v>2015</v>
      </c>
      <c r="Z51" s="716">
        <v>2016</v>
      </c>
      <c r="AA51" s="716">
        <v>2017</v>
      </c>
      <c r="AB51" s="716">
        <v>2018</v>
      </c>
      <c r="AC51" s="716">
        <v>2019</v>
      </c>
      <c r="AD51" s="716">
        <v>2020</v>
      </c>
      <c r="AE51" s="716">
        <v>2021</v>
      </c>
      <c r="AF51" s="716">
        <v>2022</v>
      </c>
      <c r="AG51" s="716">
        <v>2023</v>
      </c>
      <c r="AH51" s="716">
        <v>2024</v>
      </c>
      <c r="AI51" s="716">
        <v>2025</v>
      </c>
      <c r="AJ51" s="716">
        <v>2026</v>
      </c>
      <c r="AK51" s="716">
        <v>2027</v>
      </c>
      <c r="AL51" s="716">
        <v>2028</v>
      </c>
      <c r="AM51" s="716">
        <v>2029</v>
      </c>
      <c r="AN51" s="716">
        <v>2030</v>
      </c>
      <c r="AO51" s="716">
        <v>2031</v>
      </c>
      <c r="AP51" s="338"/>
      <c r="AQ51" s="338"/>
    </row>
    <row r="52" spans="11:43" s="716" customFormat="1" ht="16.95" customHeight="1" x14ac:dyDescent="0.3">
      <c r="K52" s="715"/>
      <c r="Q52" s="795"/>
      <c r="T52" s="716" t="str">
        <f>"mCP"&amp;$U$23&amp;50</f>
        <v>mCPAW50</v>
      </c>
      <c r="U52" s="8" t="str">
        <f>IF(Language=English, AP52, AQ52)&amp;" : "&amp;$T$23</f>
        <v>Contraceptive Use (Modern) : All Women</v>
      </c>
      <c r="V52" s="772">
        <f>VLOOKUP($T52, 'Review FPET Inputs'!$H$37:$AB$87, MATCH(V$51,'Review FPET Inputs'!$H$37:$AA$37, 0), FALSE)</f>
        <v>0</v>
      </c>
      <c r="W52" s="772">
        <f>VLOOKUP($T52, 'Review FPET Inputs'!$H$37:$AB$87, MATCH(W$51,'Review FPET Inputs'!$H$37:$AA$37, 0), FALSE)</f>
        <v>0</v>
      </c>
      <c r="X52" s="772">
        <f>VLOOKUP($T52, 'Review FPET Inputs'!$H$37:$AB$87, MATCH(X$51,'Review FPET Inputs'!$H$37:$AA$37, 0), FALSE)</f>
        <v>0</v>
      </c>
      <c r="Y52" s="772">
        <f>VLOOKUP($T52, 'Review FPET Inputs'!$H$37:$AB$87, MATCH(Y$51,'Review FPET Inputs'!$H$37:$AA$37, 0), FALSE)</f>
        <v>0</v>
      </c>
      <c r="Z52" s="772">
        <f>VLOOKUP($T52, 'Review FPET Inputs'!$H$37:$AB$87, MATCH(Z$51,'Review FPET Inputs'!$H$37:$AA$37, 0), FALSE)</f>
        <v>0</v>
      </c>
      <c r="AA52" s="772">
        <f>VLOOKUP($T52, 'Review FPET Inputs'!$H$37:$AB$87, MATCH(AA$51,'Review FPET Inputs'!$H$37:$AA$37, 0), FALSE)</f>
        <v>0</v>
      </c>
      <c r="AB52" s="772">
        <f>VLOOKUP($T52, 'Review FPET Inputs'!$H$37:$AB$87, MATCH(AB$51,'Review FPET Inputs'!$H$37:$AA$37, 0), FALSE)</f>
        <v>0</v>
      </c>
      <c r="AC52" s="772">
        <f>VLOOKUP($T52, 'Review FPET Inputs'!$H$37:$AB$87, MATCH(AC$51,'Review FPET Inputs'!$H$37:$AA$37, 0), FALSE)</f>
        <v>0</v>
      </c>
      <c r="AD52" s="772">
        <f>VLOOKUP($T52, 'Review FPET Inputs'!$H$37:$AB$87, MATCH(AD$51,'Review FPET Inputs'!$H$37:$AA$37, 0), FALSE)</f>
        <v>0</v>
      </c>
      <c r="AE52" s="772">
        <f>VLOOKUP($T52, 'Review FPET Inputs'!$H$37:$AB$87, MATCH(AE$51,'Review FPET Inputs'!$H$37:$AA$37, 0), FALSE)</f>
        <v>0</v>
      </c>
      <c r="AF52" s="772">
        <f>VLOOKUP($T52, 'Review FPET Inputs'!$H$37:$AB$87, MATCH(AF$51,'Review FPET Inputs'!$H$37:$AA$37, 0), FALSE)</f>
        <v>0</v>
      </c>
      <c r="AG52" s="772">
        <f>VLOOKUP($T52, 'Review FPET Inputs'!$H$37:$AB$87, MATCH(AG$51,'Review FPET Inputs'!$H$37:$AA$37, 0), FALSE)</f>
        <v>0</v>
      </c>
      <c r="AH52" s="772">
        <f>VLOOKUP($T52, 'Review FPET Inputs'!$H$37:$AB$87, MATCH(AH$51,'Review FPET Inputs'!$H$37:$AA$37, 0), FALSE)</f>
        <v>0</v>
      </c>
      <c r="AI52" s="772">
        <f>VLOOKUP($T52, 'Review FPET Inputs'!$H$37:$AB$87, MATCH(AI$51,'Review FPET Inputs'!$H$37:$AA$37, 0), FALSE)</f>
        <v>0</v>
      </c>
      <c r="AJ52" s="772">
        <f>VLOOKUP($T52, 'Review FPET Inputs'!$H$37:$AB$87, MATCH(AJ$51,'Review FPET Inputs'!$H$37:$AA$37, 0), FALSE)</f>
        <v>0</v>
      </c>
      <c r="AK52" s="772">
        <f>VLOOKUP($T52, 'Review FPET Inputs'!$H$37:$AB$87, MATCH(AK$51,'Review FPET Inputs'!$H$37:$AA$37, 0), FALSE)</f>
        <v>0</v>
      </c>
      <c r="AL52" s="772">
        <f>VLOOKUP($T52, 'Review FPET Inputs'!$H$37:$AB$87, MATCH(AL$51,'Review FPET Inputs'!$H$37:$AA$37, 0), FALSE)</f>
        <v>0</v>
      </c>
      <c r="AM52" s="772">
        <f>VLOOKUP($T52, 'Review FPET Inputs'!$H$37:$AB$87, MATCH(AM$51,'Review FPET Inputs'!$H$37:$AA$37, 0), FALSE)</f>
        <v>0</v>
      </c>
      <c r="AN52" s="772">
        <f>VLOOKUP($T52, 'Review FPET Inputs'!$H$37:$AB$87, MATCH(AN$51,'Review FPET Inputs'!$H$37:$AA$37, 0), FALSE)</f>
        <v>0</v>
      </c>
      <c r="AP52" s="8" t="s">
        <v>1150</v>
      </c>
      <c r="AQ52" s="651" t="s">
        <v>1152</v>
      </c>
    </row>
    <row r="53" spans="11:43" s="716" customFormat="1" ht="16.95" customHeight="1" x14ac:dyDescent="0.3">
      <c r="K53" s="715"/>
      <c r="Q53" s="795"/>
      <c r="T53" s="716" t="str">
        <f>"mUN"&amp;$U$23&amp;50</f>
        <v>mUNAW50</v>
      </c>
      <c r="U53" s="8" t="str">
        <f>IF(Language=English, AP53, AQ53)&amp;" : "&amp;$T$23</f>
        <v>Unmet Need (Modern) : All Women</v>
      </c>
      <c r="V53" s="772">
        <f>VLOOKUP($T53, 'Review FPET Inputs'!$H$37:$AB$87, MATCH(V$51,'Review FPET Inputs'!$H$37:$AA$37, 0), FALSE)</f>
        <v>0</v>
      </c>
      <c r="W53" s="772">
        <f>VLOOKUP($T53, 'Review FPET Inputs'!$H$37:$AB$87, MATCH(W$51,'Review FPET Inputs'!$H$37:$AA$37, 0), FALSE)</f>
        <v>0</v>
      </c>
      <c r="X53" s="772">
        <f>VLOOKUP($T53, 'Review FPET Inputs'!$H$37:$AB$87, MATCH(X$51,'Review FPET Inputs'!$H$37:$AA$37, 0), FALSE)</f>
        <v>0</v>
      </c>
      <c r="Y53" s="772">
        <f>VLOOKUP($T53, 'Review FPET Inputs'!$H$37:$AB$87, MATCH(Y$51,'Review FPET Inputs'!$H$37:$AA$37, 0), FALSE)</f>
        <v>0</v>
      </c>
      <c r="Z53" s="772">
        <f>VLOOKUP($T53, 'Review FPET Inputs'!$H$37:$AB$87, MATCH(Z$51,'Review FPET Inputs'!$H$37:$AA$37, 0), FALSE)</f>
        <v>0</v>
      </c>
      <c r="AA53" s="772">
        <f>VLOOKUP($T53, 'Review FPET Inputs'!$H$37:$AB$87, MATCH(AA$51,'Review FPET Inputs'!$H$37:$AA$37, 0), FALSE)</f>
        <v>0</v>
      </c>
      <c r="AB53" s="772">
        <f>VLOOKUP($T53, 'Review FPET Inputs'!$H$37:$AB$87, MATCH(AB$51,'Review FPET Inputs'!$H$37:$AA$37, 0), FALSE)</f>
        <v>0</v>
      </c>
      <c r="AC53" s="772">
        <f>VLOOKUP($T53, 'Review FPET Inputs'!$H$37:$AB$87, MATCH(AC$51,'Review FPET Inputs'!$H$37:$AA$37, 0), FALSE)</f>
        <v>0</v>
      </c>
      <c r="AD53" s="772">
        <f>VLOOKUP($T53, 'Review FPET Inputs'!$H$37:$AB$87, MATCH(AD$51,'Review FPET Inputs'!$H$37:$AA$37, 0), FALSE)</f>
        <v>0</v>
      </c>
      <c r="AE53" s="772">
        <f>VLOOKUP($T53, 'Review FPET Inputs'!$H$37:$AB$87, MATCH(AE$51,'Review FPET Inputs'!$H$37:$AA$37, 0), FALSE)</f>
        <v>0</v>
      </c>
      <c r="AF53" s="772">
        <f>VLOOKUP($T53, 'Review FPET Inputs'!$H$37:$AB$87, MATCH(AF$51,'Review FPET Inputs'!$H$37:$AA$37, 0), FALSE)</f>
        <v>0</v>
      </c>
      <c r="AG53" s="772">
        <f>VLOOKUP($T53, 'Review FPET Inputs'!$H$37:$AB$87, MATCH(AG$51,'Review FPET Inputs'!$H$37:$AA$37, 0), FALSE)</f>
        <v>0</v>
      </c>
      <c r="AH53" s="772">
        <f>VLOOKUP($T53, 'Review FPET Inputs'!$H$37:$AB$87, MATCH(AH$51,'Review FPET Inputs'!$H$37:$AA$37, 0), FALSE)</f>
        <v>0</v>
      </c>
      <c r="AI53" s="772">
        <f>VLOOKUP($T53, 'Review FPET Inputs'!$H$37:$AB$87, MATCH(AI$51,'Review FPET Inputs'!$H$37:$AA$37, 0), FALSE)</f>
        <v>0</v>
      </c>
      <c r="AJ53" s="772">
        <f>VLOOKUP($T53, 'Review FPET Inputs'!$H$37:$AB$87, MATCH(AJ$51,'Review FPET Inputs'!$H$37:$AA$37, 0), FALSE)</f>
        <v>0</v>
      </c>
      <c r="AK53" s="772">
        <f>VLOOKUP($T53, 'Review FPET Inputs'!$H$37:$AB$87, MATCH(AK$51,'Review FPET Inputs'!$H$37:$AA$37, 0), FALSE)</f>
        <v>0</v>
      </c>
      <c r="AL53" s="772">
        <f>VLOOKUP($T53, 'Review FPET Inputs'!$H$37:$AB$87, MATCH(AL$51,'Review FPET Inputs'!$H$37:$AA$37, 0), FALSE)</f>
        <v>0</v>
      </c>
      <c r="AM53" s="772">
        <f>VLOOKUP($T53, 'Review FPET Inputs'!$H$37:$AB$87, MATCH(AM$51,'Review FPET Inputs'!$H$37:$AA$37, 0), FALSE)</f>
        <v>0</v>
      </c>
      <c r="AN53" s="772">
        <f>VLOOKUP($T53, 'Review FPET Inputs'!$H$37:$AB$87, MATCH(AN$51,'Review FPET Inputs'!$H$37:$AA$37, 0), FALSE)</f>
        <v>0</v>
      </c>
      <c r="AP53" s="716" t="s">
        <v>1148</v>
      </c>
      <c r="AQ53" s="652" t="s">
        <v>1154</v>
      </c>
    </row>
    <row r="54" spans="11:43" s="716" customFormat="1" ht="16.95" customHeight="1" x14ac:dyDescent="0.3">
      <c r="K54" s="715"/>
      <c r="Q54" s="795"/>
      <c r="T54" s="716" t="str">
        <f>"mDS"&amp;$U$23&amp;50</f>
        <v>mDSAW50</v>
      </c>
      <c r="U54" s="8" t="str">
        <f>IF(Language=English, AP54, AQ54)&amp;" : "&amp;$T$23</f>
        <v>Demand Satisfied (Modern) : All Women</v>
      </c>
      <c r="V54" s="772">
        <f>VLOOKUP($T54, 'Review FPET Inputs'!$H$37:$AB$87, MATCH(V$51,'Review FPET Inputs'!$H$37:$AA$37, 0), FALSE)</f>
        <v>0</v>
      </c>
      <c r="W54" s="772">
        <f>VLOOKUP($T54, 'Review FPET Inputs'!$H$37:$AB$87, MATCH(W$51,'Review FPET Inputs'!$H$37:$AA$37, 0), FALSE)</f>
        <v>0</v>
      </c>
      <c r="X54" s="772">
        <f>VLOOKUP($T54, 'Review FPET Inputs'!$H$37:$AB$87, MATCH(X$51,'Review FPET Inputs'!$H$37:$AA$37, 0), FALSE)</f>
        <v>0</v>
      </c>
      <c r="Y54" s="772">
        <f>VLOOKUP($T54, 'Review FPET Inputs'!$H$37:$AB$87, MATCH(Y$51,'Review FPET Inputs'!$H$37:$AA$37, 0), FALSE)</f>
        <v>0</v>
      </c>
      <c r="Z54" s="772">
        <f>VLOOKUP($T54, 'Review FPET Inputs'!$H$37:$AB$87, MATCH(Z$51,'Review FPET Inputs'!$H$37:$AA$37, 0), FALSE)</f>
        <v>0</v>
      </c>
      <c r="AA54" s="772">
        <f>VLOOKUP($T54, 'Review FPET Inputs'!$H$37:$AB$87, MATCH(AA$51,'Review FPET Inputs'!$H$37:$AA$37, 0), FALSE)</f>
        <v>0</v>
      </c>
      <c r="AB54" s="772">
        <f>VLOOKUP($T54, 'Review FPET Inputs'!$H$37:$AB$87, MATCH(AB$51,'Review FPET Inputs'!$H$37:$AA$37, 0), FALSE)</f>
        <v>0</v>
      </c>
      <c r="AC54" s="772">
        <f>VLOOKUP($T54, 'Review FPET Inputs'!$H$37:$AB$87, MATCH(AC$51,'Review FPET Inputs'!$H$37:$AA$37, 0), FALSE)</f>
        <v>0</v>
      </c>
      <c r="AD54" s="772">
        <f>VLOOKUP($T54, 'Review FPET Inputs'!$H$37:$AB$87, MATCH(AD$51,'Review FPET Inputs'!$H$37:$AA$37, 0), FALSE)</f>
        <v>0</v>
      </c>
      <c r="AE54" s="772">
        <f>VLOOKUP($T54, 'Review FPET Inputs'!$H$37:$AB$87, MATCH(AE$51,'Review FPET Inputs'!$H$37:$AA$37, 0), FALSE)</f>
        <v>0</v>
      </c>
      <c r="AF54" s="772">
        <f>VLOOKUP($T54, 'Review FPET Inputs'!$H$37:$AB$87, MATCH(AF$51,'Review FPET Inputs'!$H$37:$AA$37, 0), FALSE)</f>
        <v>0</v>
      </c>
      <c r="AG54" s="772">
        <f>VLOOKUP($T54, 'Review FPET Inputs'!$H$37:$AB$87, MATCH(AG$51,'Review FPET Inputs'!$H$37:$AA$37, 0), FALSE)</f>
        <v>0</v>
      </c>
      <c r="AH54" s="772">
        <f>VLOOKUP($T54, 'Review FPET Inputs'!$H$37:$AB$87, MATCH(AH$51,'Review FPET Inputs'!$H$37:$AA$37, 0), FALSE)</f>
        <v>0</v>
      </c>
      <c r="AI54" s="772">
        <f>VLOOKUP($T54, 'Review FPET Inputs'!$H$37:$AB$87, MATCH(AI$51,'Review FPET Inputs'!$H$37:$AA$37, 0), FALSE)</f>
        <v>0</v>
      </c>
      <c r="AJ54" s="772">
        <f>VLOOKUP($T54, 'Review FPET Inputs'!$H$37:$AB$87, MATCH(AJ$51,'Review FPET Inputs'!$H$37:$AA$37, 0), FALSE)</f>
        <v>0</v>
      </c>
      <c r="AK54" s="772">
        <f>VLOOKUP($T54, 'Review FPET Inputs'!$H$37:$AB$87, MATCH(AK$51,'Review FPET Inputs'!$H$37:$AA$37, 0), FALSE)</f>
        <v>0</v>
      </c>
      <c r="AL54" s="772">
        <f>VLOOKUP($T54, 'Review FPET Inputs'!$H$37:$AB$87, MATCH(AL$51,'Review FPET Inputs'!$H$37:$AA$37, 0), FALSE)</f>
        <v>0</v>
      </c>
      <c r="AM54" s="772">
        <f>VLOOKUP($T54, 'Review FPET Inputs'!$H$37:$AB$87, MATCH(AM$51,'Review FPET Inputs'!$H$37:$AA$37, 0), FALSE)</f>
        <v>0</v>
      </c>
      <c r="AN54" s="772">
        <f>VLOOKUP($T54, 'Review FPET Inputs'!$H$37:$AB$87, MATCH(AN$51,'Review FPET Inputs'!$H$37:$AA$37, 0), FALSE)</f>
        <v>0</v>
      </c>
      <c r="AP54" s="44" t="s">
        <v>1149</v>
      </c>
      <c r="AQ54" s="652" t="s">
        <v>1153</v>
      </c>
    </row>
    <row r="55" spans="11:43" s="716" customFormat="1" ht="16.95" customHeight="1" x14ac:dyDescent="0.3">
      <c r="K55" s="715"/>
      <c r="Q55" s="795"/>
      <c r="W55" s="13"/>
      <c r="AE55" s="735"/>
      <c r="AF55" s="735">
        <v>1</v>
      </c>
      <c r="AG55" s="735">
        <v>1</v>
      </c>
      <c r="AH55" s="735">
        <v>1</v>
      </c>
      <c r="AI55" s="735">
        <v>1</v>
      </c>
      <c r="AJ55" s="735">
        <v>1</v>
      </c>
      <c r="AK55" s="735">
        <v>1</v>
      </c>
      <c r="AL55" s="735">
        <v>1</v>
      </c>
      <c r="AM55" s="735">
        <v>1</v>
      </c>
      <c r="AN55" s="735">
        <v>1</v>
      </c>
      <c r="AP55" s="338"/>
      <c r="AQ55"/>
    </row>
    <row r="56" spans="11:43" s="716" customFormat="1" ht="16.95" customHeight="1" x14ac:dyDescent="0.3">
      <c r="K56" s="715"/>
      <c r="Q56" s="795"/>
      <c r="V56" s="96"/>
      <c r="W56" s="96"/>
      <c r="X56" s="96"/>
      <c r="Y56" s="96"/>
      <c r="Z56" s="96"/>
      <c r="AA56" s="96"/>
      <c r="AB56" s="96"/>
      <c r="AC56" s="96"/>
      <c r="AD56" s="96"/>
      <c r="AE56" s="96"/>
      <c r="AF56" s="735"/>
      <c r="AG56" s="735"/>
      <c r="AH56" s="735"/>
      <c r="AI56" s="735"/>
      <c r="AJ56" s="735"/>
      <c r="AK56" s="735"/>
      <c r="AL56" s="735"/>
      <c r="AM56" s="735"/>
      <c r="AN56" s="735"/>
      <c r="AP56" s="338"/>
      <c r="AQ56" s="338"/>
    </row>
    <row r="57" spans="11:43" s="716" customFormat="1" ht="16.95" customHeight="1" x14ac:dyDescent="0.3">
      <c r="K57" s="715"/>
      <c r="Q57" s="795"/>
      <c r="V57" s="96"/>
      <c r="W57" s="96"/>
      <c r="X57" s="96"/>
      <c r="Y57" s="96"/>
      <c r="Z57" s="96"/>
      <c r="AA57" s="96"/>
      <c r="AB57" s="96"/>
      <c r="AC57" s="96"/>
      <c r="AD57" s="96"/>
      <c r="AE57" s="96"/>
      <c r="AF57" s="735"/>
      <c r="AG57" s="735"/>
      <c r="AH57" s="735"/>
      <c r="AI57" s="735"/>
      <c r="AJ57" s="735"/>
      <c r="AK57" s="735"/>
      <c r="AL57" s="735"/>
      <c r="AM57" s="735"/>
      <c r="AN57" s="735"/>
      <c r="AP57" s="338"/>
      <c r="AQ57" s="338"/>
    </row>
    <row r="58" spans="11:43" s="716" customFormat="1" ht="16.95" customHeight="1" x14ac:dyDescent="0.3">
      <c r="K58" s="715"/>
      <c r="Q58" s="795"/>
      <c r="W58" s="13"/>
      <c r="AE58" s="735"/>
      <c r="AF58" s="735"/>
      <c r="AG58" s="735"/>
      <c r="AH58" s="735"/>
      <c r="AI58" s="735"/>
      <c r="AJ58" s="735"/>
      <c r="AK58" s="735"/>
      <c r="AL58" s="735"/>
      <c r="AM58" s="735"/>
      <c r="AN58" s="735"/>
      <c r="AP58" s="338"/>
      <c r="AQ58" s="338"/>
    </row>
    <row r="59" spans="11:43" s="716" customFormat="1" ht="16.95" customHeight="1" x14ac:dyDescent="0.3">
      <c r="K59" s="715"/>
      <c r="Q59" s="795"/>
      <c r="W59" s="13"/>
      <c r="AE59" s="735"/>
      <c r="AF59" s="735"/>
      <c r="AG59" s="735"/>
      <c r="AH59" s="735"/>
      <c r="AI59" s="735"/>
      <c r="AJ59" s="735"/>
      <c r="AK59" s="735"/>
      <c r="AL59" s="735"/>
      <c r="AM59" s="735"/>
      <c r="AN59" s="735"/>
      <c r="AP59" s="338"/>
      <c r="AQ59" s="338"/>
    </row>
    <row r="60" spans="11:43" s="716" customFormat="1" ht="16.95" customHeight="1" x14ac:dyDescent="0.3">
      <c r="K60" s="715"/>
      <c r="Q60" s="795"/>
      <c r="W60" s="13"/>
      <c r="AE60" s="735"/>
      <c r="AF60" s="735"/>
      <c r="AG60" s="735"/>
      <c r="AH60" s="735"/>
      <c r="AI60" s="735"/>
      <c r="AJ60" s="735"/>
      <c r="AK60" s="735"/>
      <c r="AL60" s="735"/>
      <c r="AM60" s="735"/>
      <c r="AN60" s="735"/>
      <c r="AP60" s="338"/>
      <c r="AQ60" s="338"/>
    </row>
    <row r="61" spans="11:43" s="716" customFormat="1" ht="16.95" customHeight="1" x14ac:dyDescent="0.3">
      <c r="K61" s="715"/>
      <c r="Q61" s="795"/>
      <c r="W61" s="13"/>
      <c r="AE61" s="735"/>
      <c r="AF61" s="735"/>
      <c r="AG61" s="735"/>
      <c r="AH61" s="735"/>
      <c r="AI61" s="735"/>
      <c r="AJ61" s="735"/>
      <c r="AK61" s="735"/>
      <c r="AL61" s="735"/>
      <c r="AM61" s="735"/>
      <c r="AN61" s="735"/>
      <c r="AP61" s="338"/>
      <c r="AQ61" s="338"/>
    </row>
    <row r="62" spans="11:43" s="716" customFormat="1" ht="16.95" customHeight="1" x14ac:dyDescent="0.3">
      <c r="K62" s="715"/>
      <c r="Q62" s="795"/>
      <c r="U62" s="8"/>
      <c r="W62" s="13"/>
      <c r="AE62" s="735"/>
      <c r="AF62" s="735"/>
      <c r="AG62" s="735"/>
      <c r="AH62" s="735"/>
      <c r="AI62" s="735"/>
      <c r="AJ62" s="735"/>
      <c r="AK62" s="735"/>
      <c r="AL62" s="735"/>
      <c r="AM62" s="735"/>
      <c r="AN62" s="735"/>
      <c r="AP62" s="338"/>
      <c r="AQ62" s="338"/>
    </row>
    <row r="63" spans="11:43" s="716" customFormat="1" ht="16.95" customHeight="1" x14ac:dyDescent="0.3">
      <c r="K63" s="715"/>
      <c r="Q63" s="795"/>
      <c r="W63" s="13"/>
      <c r="AE63" s="735"/>
      <c r="AF63" s="735"/>
      <c r="AG63" s="735"/>
      <c r="AH63" s="735"/>
      <c r="AI63" s="735"/>
      <c r="AJ63" s="735"/>
      <c r="AK63" s="735"/>
      <c r="AL63" s="735"/>
      <c r="AM63" s="735"/>
      <c r="AN63" s="735"/>
      <c r="AP63" s="338"/>
      <c r="AQ63" s="338"/>
    </row>
    <row r="64" spans="11:43" s="716" customFormat="1" ht="16.95" customHeight="1" x14ac:dyDescent="0.3">
      <c r="K64" s="715"/>
      <c r="Q64" s="795"/>
      <c r="W64" s="13"/>
      <c r="AE64" s="735"/>
      <c r="AF64" s="735"/>
      <c r="AG64" s="735"/>
      <c r="AH64" s="735"/>
      <c r="AI64" s="735"/>
      <c r="AJ64" s="735"/>
      <c r="AK64" s="735"/>
      <c r="AL64" s="735"/>
      <c r="AM64" s="735"/>
      <c r="AN64" s="735"/>
      <c r="AP64" s="338"/>
      <c r="AQ64" s="338"/>
    </row>
    <row r="65" spans="2:44" s="716" customFormat="1" ht="16.95" customHeight="1" x14ac:dyDescent="0.3">
      <c r="K65" s="715"/>
      <c r="Q65" s="795"/>
      <c r="W65" s="13"/>
      <c r="AE65" s="735"/>
      <c r="AF65" s="735"/>
      <c r="AG65" s="735"/>
      <c r="AH65" s="735"/>
      <c r="AI65" s="735"/>
      <c r="AJ65" s="735"/>
      <c r="AK65" s="735"/>
      <c r="AL65" s="735"/>
      <c r="AM65" s="735"/>
      <c r="AN65" s="735"/>
      <c r="AP65" s="338"/>
      <c r="AQ65" s="338"/>
    </row>
    <row r="66" spans="2:44" s="716" customFormat="1" ht="16.95" customHeight="1" x14ac:dyDescent="0.3">
      <c r="K66" s="715"/>
      <c r="Q66" s="795"/>
      <c r="W66" s="13"/>
      <c r="AE66" s="735"/>
      <c r="AF66" s="735"/>
      <c r="AG66" s="735"/>
      <c r="AH66" s="735"/>
      <c r="AI66" s="735"/>
      <c r="AJ66" s="735"/>
      <c r="AK66" s="735"/>
      <c r="AL66" s="735"/>
      <c r="AM66" s="735"/>
      <c r="AN66" s="735"/>
      <c r="AP66" s="338"/>
      <c r="AQ66" s="338"/>
    </row>
    <row r="67" spans="2:44" s="716" customFormat="1" ht="7.5" customHeight="1" x14ac:dyDescent="0.3">
      <c r="K67" s="715"/>
      <c r="Q67" s="795"/>
      <c r="W67" s="13"/>
      <c r="AE67" s="735"/>
      <c r="AF67" s="735"/>
      <c r="AG67" s="735"/>
      <c r="AH67" s="735"/>
      <c r="AI67" s="735"/>
      <c r="AJ67" s="735"/>
      <c r="AK67" s="735"/>
      <c r="AL67" s="735"/>
      <c r="AM67" s="735"/>
      <c r="AN67" s="735"/>
      <c r="AP67" s="338"/>
      <c r="AQ67" s="338"/>
    </row>
    <row r="68" spans="2:44" s="9" customFormat="1" ht="26.25" customHeight="1" x14ac:dyDescent="0.4">
      <c r="B68" s="416"/>
      <c r="C68" s="1041" t="str">
        <f>IF(Language=English, AP68, AQ68)</f>
        <v>Putting our Progress Into Context</v>
      </c>
      <c r="D68" s="1041"/>
      <c r="E68" s="1041"/>
      <c r="F68" s="1041"/>
      <c r="G68" s="1041"/>
      <c r="H68" s="1041"/>
      <c r="I68" s="1041"/>
      <c r="J68" s="1041"/>
      <c r="K68" s="1041"/>
      <c r="L68" s="1041"/>
      <c r="M68" s="1041"/>
      <c r="N68" s="1041"/>
      <c r="O68" s="1041"/>
      <c r="P68" s="416"/>
      <c r="Q68" s="796"/>
      <c r="R68"/>
      <c r="U68" s="142"/>
      <c r="V68" s="112"/>
      <c r="W68" s="112"/>
      <c r="X68" s="112"/>
      <c r="Y68" s="112"/>
      <c r="Z68" s="112"/>
      <c r="AP68" s="210" t="s">
        <v>681</v>
      </c>
      <c r="AQ68" s="220" t="s">
        <v>682</v>
      </c>
    </row>
    <row r="69" spans="2:44" s="9" customFormat="1" ht="13.5" customHeight="1" x14ac:dyDescent="0.35">
      <c r="C69" s="143"/>
      <c r="D69" s="143"/>
      <c r="E69" s="143"/>
      <c r="F69" s="143"/>
      <c r="G69" s="143"/>
      <c r="H69" s="143"/>
      <c r="I69" s="143"/>
      <c r="J69" s="143"/>
      <c r="K69" s="143"/>
      <c r="L69" s="143"/>
      <c r="M69" s="143"/>
      <c r="N69" s="143"/>
      <c r="O69" s="143"/>
      <c r="Q69" s="795"/>
      <c r="V69" s="112"/>
      <c r="W69" s="112"/>
      <c r="X69" s="112"/>
      <c r="Y69" s="112"/>
      <c r="Z69" s="112"/>
      <c r="AP69" s="218"/>
      <c r="AQ69" s="219"/>
      <c r="AR69" s="11"/>
    </row>
    <row r="70" spans="2:44" s="9" customFormat="1" ht="43.5" customHeight="1" x14ac:dyDescent="0.3">
      <c r="B70" s="5"/>
      <c r="C70" s="1057" t="str">
        <f>IF(Language = "English", AP77,AQ77)</f>
        <v>What is the impact of growing our modern contraceptive prevalence?</v>
      </c>
      <c r="D70" s="1057"/>
      <c r="E70" s="1057"/>
      <c r="F70" s="1057"/>
      <c r="G70" s="1057"/>
      <c r="H70" s="1057"/>
      <c r="I70" s="125"/>
      <c r="J70" s="1057" t="str">
        <f>IF(Language = "English", AP70,AQ70)</f>
        <v>What contraceptive methods are women using?</v>
      </c>
      <c r="K70" s="1057"/>
      <c r="L70" s="1057"/>
      <c r="M70" s="1057"/>
      <c r="N70" s="1057"/>
      <c r="O70" s="1057"/>
      <c r="P70" s="5"/>
      <c r="Q70" s="795"/>
      <c r="U70"/>
      <c r="V70"/>
      <c r="W70"/>
      <c r="X70"/>
      <c r="Y70"/>
      <c r="Z70"/>
      <c r="AA70"/>
      <c r="AB70"/>
      <c r="AC70"/>
      <c r="AD70"/>
      <c r="AE70"/>
      <c r="AF70"/>
      <c r="AL70" s="327"/>
      <c r="AM70" s="327"/>
      <c r="AN70" s="327"/>
      <c r="AP70" s="218" t="s">
        <v>683</v>
      </c>
      <c r="AQ70" s="225" t="s">
        <v>694</v>
      </c>
    </row>
    <row r="71" spans="2:44" s="9" customFormat="1" ht="8.25" customHeight="1" thickBot="1" x14ac:dyDescent="0.35">
      <c r="C71" s="4"/>
      <c r="D71" s="4"/>
      <c r="E71" s="4"/>
      <c r="F71" s="144"/>
      <c r="G71" s="144"/>
      <c r="H71" s="144"/>
      <c r="J71" s="145"/>
      <c r="K71" s="145"/>
      <c r="L71" s="145"/>
      <c r="M71" s="145"/>
      <c r="N71" s="145"/>
      <c r="O71" s="145"/>
      <c r="Q71" s="795"/>
      <c r="V71" s="112"/>
      <c r="W71" s="112"/>
      <c r="X71" s="112"/>
      <c r="Y71" s="112"/>
      <c r="Z71" s="112"/>
      <c r="AP71" s="218"/>
      <c r="AQ71" s="219"/>
    </row>
    <row r="72" spans="2:44" s="9" customFormat="1" ht="15" customHeight="1" thickBot="1" x14ac:dyDescent="0.5">
      <c r="C72" s="1078" t="str">
        <f>IF(Language = English, AP75, AQ75)</f>
        <v>In 2022</v>
      </c>
      <c r="D72" s="1078"/>
      <c r="E72" s="340"/>
      <c r="F72" s="340"/>
      <c r="G72" s="340"/>
      <c r="H72" s="340"/>
      <c r="I72" s="108"/>
      <c r="Q72" s="795"/>
      <c r="U72" s="1096" t="s">
        <v>515</v>
      </c>
      <c r="V72" s="1097"/>
      <c r="W72" s="1097"/>
      <c r="X72" s="1097"/>
      <c r="Y72" s="1097"/>
      <c r="Z72" s="1097"/>
      <c r="AA72" s="1097"/>
      <c r="AB72" s="1097"/>
      <c r="AC72" s="1097"/>
      <c r="AD72" s="1097"/>
      <c r="AE72" s="1098"/>
      <c r="AP72" s="218" t="s">
        <v>590</v>
      </c>
      <c r="AQ72" s="219" t="s">
        <v>595</v>
      </c>
    </row>
    <row r="73" spans="2:44" s="9" customFormat="1" ht="15" customHeight="1" x14ac:dyDescent="0.45">
      <c r="C73" s="1078"/>
      <c r="D73" s="1078"/>
      <c r="E73" s="340"/>
      <c r="F73" s="340"/>
      <c r="G73" s="340"/>
      <c r="H73" s="340"/>
      <c r="I73" s="108"/>
      <c r="Q73" s="795"/>
      <c r="U73" s="147"/>
      <c r="V73" s="148"/>
      <c r="W73" s="149"/>
      <c r="X73" s="149"/>
      <c r="Y73" s="149"/>
      <c r="Z73" s="149"/>
      <c r="AA73" s="4"/>
      <c r="AB73" s="148"/>
      <c r="AC73" s="148"/>
      <c r="AD73" s="148"/>
      <c r="AE73" s="150"/>
      <c r="AP73" s="218"/>
      <c r="AQ73" s="219"/>
    </row>
    <row r="74" spans="2:44" s="9" customFormat="1" ht="15" customHeight="1" x14ac:dyDescent="0.3">
      <c r="C74" s="1079" t="e">
        <f>HLOOKUP($T$4, $U$83:$AO$87, 2, FALSE)</f>
        <v>#N/A</v>
      </c>
      <c r="D74" s="1079"/>
      <c r="E74" s="1079"/>
      <c r="F74" s="1079"/>
      <c r="G74" s="1079"/>
      <c r="H74" s="1079"/>
      <c r="I74" s="108"/>
      <c r="Q74" s="795"/>
      <c r="U74" s="147"/>
      <c r="V74" s="148"/>
      <c r="W74" s="151"/>
      <c r="X74" s="151"/>
      <c r="Y74" s="151"/>
      <c r="Z74" s="151"/>
      <c r="AA74" s="4"/>
      <c r="AB74" s="148"/>
      <c r="AC74" s="148"/>
      <c r="AD74" s="148"/>
      <c r="AE74" s="150"/>
      <c r="AP74" s="210"/>
      <c r="AQ74" s="211"/>
    </row>
    <row r="75" spans="2:44" s="9" customFormat="1" ht="15" customHeight="1" x14ac:dyDescent="0.3">
      <c r="C75" s="1079"/>
      <c r="D75" s="1079"/>
      <c r="E75" s="1079"/>
      <c r="F75" s="1079"/>
      <c r="G75" s="1079"/>
      <c r="H75" s="1079"/>
      <c r="I75" s="108"/>
      <c r="Q75" s="795"/>
      <c r="U75" s="147"/>
      <c r="V75" s="148"/>
      <c r="W75" s="148"/>
      <c r="X75" s="148"/>
      <c r="Y75" s="148"/>
      <c r="Z75" s="148"/>
      <c r="AA75" s="148"/>
      <c r="AB75" s="148"/>
      <c r="AC75" s="148"/>
      <c r="AD75" s="148"/>
      <c r="AE75" s="150"/>
      <c r="AP75" s="218" t="str">
        <f>"In "&amp;$T$4</f>
        <v>In 2022</v>
      </c>
      <c r="AQ75" s="218" t="str">
        <f>"En "&amp;$T$4</f>
        <v>En 2022</v>
      </c>
    </row>
    <row r="76" spans="2:44" s="9" customFormat="1" ht="15" customHeight="1" x14ac:dyDescent="0.3">
      <c r="C76" s="1079"/>
      <c r="D76" s="1079"/>
      <c r="E76" s="1079"/>
      <c r="F76" s="1079"/>
      <c r="G76" s="1079"/>
      <c r="H76" s="1079"/>
      <c r="I76" s="108"/>
      <c r="Q76" s="795"/>
      <c r="U76" s="1039" t="str">
        <f>'Assumption Review'!$D65</f>
        <v>Female sterilization</v>
      </c>
      <c r="V76" s="1039" t="str">
        <f>'Assumption Review'!$D66</f>
        <v>Male sterilization</v>
      </c>
      <c r="W76" s="1039" t="str">
        <f>'Assumption Review'!$D67</f>
        <v>IUD</v>
      </c>
      <c r="X76" s="1039" t="str">
        <f>'Assumption Review'!$D68</f>
        <v>Implants</v>
      </c>
      <c r="Y76" s="1039" t="str">
        <f>'Assumption Review'!$D69</f>
        <v>Injections</v>
      </c>
      <c r="Z76" s="1039" t="str">
        <f>'Assumption Review'!$D70</f>
        <v>Pill</v>
      </c>
      <c r="AA76" s="1039" t="str">
        <f>'Assumption Review'!$D71</f>
        <v>Male Condom</v>
      </c>
      <c r="AB76" s="1039" t="str">
        <f>'Assumption Review'!$D72</f>
        <v>Female Condom</v>
      </c>
      <c r="AC76" s="1039" t="str">
        <f>'Assumption Review'!$D73</f>
        <v>LAM</v>
      </c>
      <c r="AD76" s="1039" t="str">
        <f>'Assumption Review'!$D74</f>
        <v>Standard Days Method</v>
      </c>
      <c r="AE76" s="1039" t="str">
        <f>'Assumption Review'!$D75</f>
        <v>Other modern methods</v>
      </c>
      <c r="AP76" s="218" t="s">
        <v>601</v>
      </c>
      <c r="AQ76" s="219" t="s">
        <v>951</v>
      </c>
    </row>
    <row r="77" spans="2:44" s="9" customFormat="1" ht="15" customHeight="1" x14ac:dyDescent="0.3">
      <c r="C77" s="1079"/>
      <c r="D77" s="1079"/>
      <c r="E77" s="1079"/>
      <c r="F77" s="1079"/>
      <c r="G77" s="1079"/>
      <c r="H77" s="1079"/>
      <c r="Q77" s="795"/>
      <c r="U77" s="1039"/>
      <c r="V77" s="1039"/>
      <c r="W77" s="1039"/>
      <c r="X77" s="1039"/>
      <c r="Y77" s="1039"/>
      <c r="Z77" s="1039"/>
      <c r="AA77" s="1039"/>
      <c r="AB77" s="1039"/>
      <c r="AC77" s="1039"/>
      <c r="AD77" s="1039"/>
      <c r="AE77" s="1039"/>
      <c r="AP77" s="210" t="s">
        <v>519</v>
      </c>
      <c r="AQ77" s="211" t="s">
        <v>597</v>
      </c>
    </row>
    <row r="78" spans="2:44" s="9" customFormat="1" ht="15" customHeight="1" x14ac:dyDescent="0.3">
      <c r="C78" s="1094" t="str">
        <f>IF(Language = "English", AP79,AQ79)</f>
        <v xml:space="preserve">women are using a modern method of contraception in </v>
      </c>
      <c r="D78" s="1094"/>
      <c r="E78" s="1094"/>
      <c r="F78" s="1094"/>
      <c r="G78" s="1094"/>
      <c r="H78" s="1094"/>
      <c r="Q78" s="795"/>
      <c r="U78" s="806" t="e">
        <f>IF(VLOOKUP(U76, 'Assumption Review'!$D$65:$E$75, 2, FALSE)/'Assumption Review'!$E$76=0, NA(), VLOOKUP(U76, 'Assumption Review'!$D$65:$E$75, 2, FALSE)/'Assumption Review'!$E$76)</f>
        <v>#N/A</v>
      </c>
      <c r="V78" s="806" t="e">
        <f>IF(VLOOKUP(V76, 'Assumption Review'!$D$65:$E$75, 2, FALSE)/'Assumption Review'!$E$76=0, NA(), VLOOKUP(V76, 'Assumption Review'!$D$65:$E$75, 2, FALSE)/'Assumption Review'!$E$76)</f>
        <v>#N/A</v>
      </c>
      <c r="W78" s="806" t="e">
        <f>IF(VLOOKUP(W76, 'Assumption Review'!$D$65:$E$75, 2, FALSE)/'Assumption Review'!$E$76=0, NA(), VLOOKUP(W76, 'Assumption Review'!$D$65:$E$75, 2, FALSE)/'Assumption Review'!$E$76)</f>
        <v>#N/A</v>
      </c>
      <c r="X78" s="806" t="e">
        <f>IF(VLOOKUP(X76, 'Assumption Review'!$D$65:$E$75, 2, FALSE)/'Assumption Review'!$E$76=0, NA(), VLOOKUP(X76, 'Assumption Review'!$D$65:$E$75, 2, FALSE)/'Assumption Review'!$E$76)</f>
        <v>#N/A</v>
      </c>
      <c r="Y78" s="806" t="e">
        <f>IF(VLOOKUP(Y76, 'Assumption Review'!$D$65:$E$75, 2, FALSE)/'Assumption Review'!$E$76=0, NA(), VLOOKUP(Y76, 'Assumption Review'!$D$65:$E$75, 2, FALSE)/'Assumption Review'!$E$76)</f>
        <v>#N/A</v>
      </c>
      <c r="Z78" s="806" t="e">
        <f>IF(VLOOKUP(Z76, 'Assumption Review'!$D$65:$E$75, 2, FALSE)/'Assumption Review'!$E$76=0, NA(), VLOOKUP(Z76, 'Assumption Review'!$D$65:$E$75, 2, FALSE)/'Assumption Review'!$E$76)</f>
        <v>#N/A</v>
      </c>
      <c r="AA78" s="806" t="e">
        <f>IF(VLOOKUP(AA76, 'Assumption Review'!$D$65:$E$75, 2, FALSE)/'Assumption Review'!$E$76=0, NA(), VLOOKUP(AA76, 'Assumption Review'!$D$65:$E$75, 2, FALSE)/'Assumption Review'!$E$76)</f>
        <v>#N/A</v>
      </c>
      <c r="AB78" s="806" t="e">
        <f>IF(VLOOKUP(AB76, 'Assumption Review'!$D$65:$E$75, 2, FALSE)/'Assumption Review'!$E$76=0, NA(), VLOOKUP(AB76, 'Assumption Review'!$D$65:$E$75, 2, FALSE)/'Assumption Review'!$E$76)</f>
        <v>#N/A</v>
      </c>
      <c r="AC78" s="806" t="e">
        <f>IF(VLOOKUP(AC76, 'Assumption Review'!$D$65:$E$75, 2, FALSE)/'Assumption Review'!$E$76=0, NA(), VLOOKUP(AC76, 'Assumption Review'!$D$65:$E$75, 2, FALSE)/'Assumption Review'!$E$76)</f>
        <v>#N/A</v>
      </c>
      <c r="AD78" s="806" t="e">
        <f>IF(VLOOKUP(AD76, 'Assumption Review'!$D$65:$E$75, 2, FALSE)/'Assumption Review'!$E$76=0, NA(), VLOOKUP(AD76, 'Assumption Review'!$D$65:$E$75, 2, FALSE)/'Assumption Review'!$E$76)</f>
        <v>#N/A</v>
      </c>
      <c r="AE78" s="806" t="e">
        <f>IF(VLOOKUP(AE76, 'Assumption Review'!$D$65:$E$75, 2, FALSE)/'Assumption Review'!$E$76=0, NA(), VLOOKUP(AE76, 'Assumption Review'!$D$65:$E$75, 2, FALSE)/'Assumption Review'!$E$76)</f>
        <v>#N/A</v>
      </c>
      <c r="AP78" s="218" t="s">
        <v>611</v>
      </c>
      <c r="AQ78" s="219" t="s">
        <v>952</v>
      </c>
    </row>
    <row r="79" spans="2:44" s="9" customFormat="1" ht="15" customHeight="1" x14ac:dyDescent="0.3">
      <c r="C79" s="1094"/>
      <c r="D79" s="1094"/>
      <c r="E79" s="1094"/>
      <c r="F79" s="1094"/>
      <c r="G79" s="1094"/>
      <c r="H79" s="1094"/>
      <c r="Q79" s="795"/>
      <c r="W79" s="13"/>
      <c r="AP79" s="218" t="str">
        <f>"women are using a modern method of contraception in "&amp;Country</f>
        <v xml:space="preserve">women are using a modern method of contraception in </v>
      </c>
      <c r="AQ79" s="219" t="s">
        <v>685</v>
      </c>
    </row>
    <row r="80" spans="2:44" s="9" customFormat="1" ht="15" customHeight="1" x14ac:dyDescent="0.3">
      <c r="C80" s="1094"/>
      <c r="D80" s="1094"/>
      <c r="E80" s="1094"/>
      <c r="F80" s="1094"/>
      <c r="G80" s="1094"/>
      <c r="H80" s="1094"/>
      <c r="Q80" s="795"/>
      <c r="W80" s="13"/>
      <c r="AP80" s="218" t="s">
        <v>607</v>
      </c>
      <c r="AQ80" s="219" t="s">
        <v>608</v>
      </c>
    </row>
    <row r="81" spans="2:44" s="9" customFormat="1" ht="15" customHeight="1" x14ac:dyDescent="0.3">
      <c r="C81" s="1094"/>
      <c r="D81" s="1094"/>
      <c r="E81" s="1094"/>
      <c r="F81" s="1094"/>
      <c r="G81" s="1094"/>
      <c r="H81" s="1094"/>
      <c r="Q81" s="795"/>
      <c r="AP81" s="218" t="s">
        <v>579</v>
      </c>
      <c r="AQ81" s="219" t="s">
        <v>600</v>
      </c>
    </row>
    <row r="82" spans="2:44" s="9" customFormat="1" ht="22.5" customHeight="1" thickBot="1" x14ac:dyDescent="0.45">
      <c r="C82" s="206" t="str">
        <f>IF(Language = "English", AP80,AQ80)</f>
        <v>As a result of contraceptive use:</v>
      </c>
      <c r="D82" s="203"/>
      <c r="E82" s="203"/>
      <c r="F82" s="203"/>
      <c r="G82" s="203"/>
      <c r="H82" s="203"/>
      <c r="Q82" s="795"/>
      <c r="U82" s="1103" t="s">
        <v>698</v>
      </c>
      <c r="V82" s="1103"/>
      <c r="W82" s="1103"/>
      <c r="X82" s="1103"/>
      <c r="Y82" s="1103"/>
      <c r="Z82" s="1103"/>
      <c r="AA82" s="1103"/>
      <c r="AB82" s="1103"/>
      <c r="AP82" s="218" t="s">
        <v>577</v>
      </c>
      <c r="AQ82" t="s">
        <v>598</v>
      </c>
    </row>
    <row r="83" spans="2:44" s="9" customFormat="1" ht="15" customHeight="1" thickBot="1" x14ac:dyDescent="0.35">
      <c r="C83" s="178"/>
      <c r="D83" s="202"/>
      <c r="E83" s="202"/>
      <c r="F83" s="1089" t="e">
        <f>HLOOKUP($T$4, $U$83:$AO$87, 4, FALSE)</f>
        <v>#N/A</v>
      </c>
      <c r="G83" s="1089"/>
      <c r="H83" s="1089"/>
      <c r="Q83" s="795"/>
      <c r="U83" s="160"/>
      <c r="V83" s="161"/>
      <c r="W83" s="162">
        <v>2012</v>
      </c>
      <c r="X83" s="117">
        <v>2013</v>
      </c>
      <c r="Y83" s="117">
        <v>2014</v>
      </c>
      <c r="Z83" s="162">
        <v>2015</v>
      </c>
      <c r="AA83" s="117">
        <v>2016</v>
      </c>
      <c r="AB83" s="117">
        <v>2017</v>
      </c>
      <c r="AC83" s="162">
        <v>2018</v>
      </c>
      <c r="AD83" s="117">
        <v>2019</v>
      </c>
      <c r="AE83" s="117">
        <v>2020</v>
      </c>
      <c r="AF83" s="117">
        <v>2021</v>
      </c>
      <c r="AG83" s="117">
        <v>2022</v>
      </c>
      <c r="AH83" s="117">
        <v>2023</v>
      </c>
      <c r="AI83" s="117">
        <v>2024</v>
      </c>
      <c r="AJ83" s="117">
        <v>2025</v>
      </c>
      <c r="AK83" s="117">
        <v>2026</v>
      </c>
      <c r="AL83" s="117">
        <v>2027</v>
      </c>
      <c r="AM83" s="117">
        <v>2028</v>
      </c>
      <c r="AN83" s="117">
        <v>2029</v>
      </c>
      <c r="AO83" s="117">
        <v>2030</v>
      </c>
      <c r="AP83" s="218" t="s">
        <v>578</v>
      </c>
      <c r="AQ83" s="219" t="s">
        <v>599</v>
      </c>
    </row>
    <row r="84" spans="2:44" s="9" customFormat="1" ht="15" customHeight="1" x14ac:dyDescent="0.3">
      <c r="C84" s="178"/>
      <c r="D84" s="202"/>
      <c r="E84" s="202"/>
      <c r="F84" s="1089"/>
      <c r="G84" s="1089"/>
      <c r="H84" s="1089"/>
      <c r="Q84" s="795"/>
      <c r="U84" s="1102" t="str">
        <f>IF(Language = "English", AP76,AQ76)</f>
        <v>Number of women using a modern method of contraception</v>
      </c>
      <c r="V84" s="1102"/>
      <c r="W84" s="805" t="e">
        <f>ROUNDDOWN(HLOOKUP(W83, 'Indicator Calculations'!$G$34:$Y$35, 2, FALSE), -3)</f>
        <v>#N/A</v>
      </c>
      <c r="X84" s="805" t="e">
        <f>ROUNDDOWN(HLOOKUP(X83, 'Indicator Calculations'!$G$34:$Y$35, 2, FALSE), -3)</f>
        <v>#N/A</v>
      </c>
      <c r="Y84" s="805" t="e">
        <f>ROUNDDOWN(HLOOKUP(Y83, 'Indicator Calculations'!$G$34:$Y$35, 2, FALSE), -3)</f>
        <v>#N/A</v>
      </c>
      <c r="Z84" s="805" t="e">
        <f>ROUNDDOWN(HLOOKUP(Z83, 'Indicator Calculations'!$G$34:$Y$35, 2, FALSE), -3)</f>
        <v>#N/A</v>
      </c>
      <c r="AA84" s="805" t="e">
        <f>ROUNDDOWN(HLOOKUP(AA83, 'Indicator Calculations'!$G$34:$Y$35, 2, FALSE), -3)</f>
        <v>#N/A</v>
      </c>
      <c r="AB84" s="805" t="e">
        <f>ROUNDDOWN(HLOOKUP(AB83, 'Indicator Calculations'!$G$34:$Y$35, 2, FALSE), -3)</f>
        <v>#N/A</v>
      </c>
      <c r="AC84" s="805" t="e">
        <f>ROUNDDOWN(HLOOKUP(AC83, 'Indicator Calculations'!$G$34:$Y$35, 2, FALSE), -3)</f>
        <v>#N/A</v>
      </c>
      <c r="AD84" s="805" t="e">
        <f>ROUNDDOWN(HLOOKUP(AD83, 'Indicator Calculations'!$G$34:$Y$35, 2, FALSE), -3)</f>
        <v>#N/A</v>
      </c>
      <c r="AE84" s="805" t="e">
        <f>ROUNDDOWN(HLOOKUP(AE83, 'Indicator Calculations'!$G$34:$Y$35, 2, FALSE), -3)</f>
        <v>#N/A</v>
      </c>
      <c r="AF84" s="805" t="e">
        <f>ROUNDDOWN(HLOOKUP(AF83, 'Indicator Calculations'!$G$34:$Y$35, 2, FALSE), -3)</f>
        <v>#N/A</v>
      </c>
      <c r="AG84" s="805" t="e">
        <f>ROUNDDOWN(HLOOKUP(AG83, 'Indicator Calculations'!$G$34:$Y$35, 2, FALSE), -3)</f>
        <v>#N/A</v>
      </c>
      <c r="AH84" s="805" t="e">
        <f>ROUNDDOWN(HLOOKUP(AH83, 'Indicator Calculations'!$G$34:$Y$35, 2, FALSE), -3)</f>
        <v>#N/A</v>
      </c>
      <c r="AI84" s="805" t="e">
        <f>ROUNDDOWN(HLOOKUP(AI83, 'Indicator Calculations'!$G$34:$Y$35, 2, FALSE), -3)</f>
        <v>#N/A</v>
      </c>
      <c r="AJ84" s="805" t="e">
        <f>ROUNDDOWN(HLOOKUP(AJ83, 'Indicator Calculations'!$G$34:$Y$35, 2, FALSE), -3)</f>
        <v>#N/A</v>
      </c>
      <c r="AK84" s="805" t="e">
        <f>ROUNDDOWN(HLOOKUP(AK83, 'Indicator Calculations'!$G$34:$Y$35, 2, FALSE), -3)</f>
        <v>#N/A</v>
      </c>
      <c r="AL84" s="805" t="e">
        <f>ROUNDDOWN(HLOOKUP(AL83, 'Indicator Calculations'!$G$34:$Y$35, 2, FALSE), -3)</f>
        <v>#N/A</v>
      </c>
      <c r="AM84" s="805" t="e">
        <f>ROUNDDOWN(HLOOKUP(AM83, 'Indicator Calculations'!$G$34:$Y$35, 2, FALSE), -3)</f>
        <v>#N/A</v>
      </c>
      <c r="AN84" s="805" t="e">
        <f>ROUNDDOWN(HLOOKUP(AN83, 'Indicator Calculations'!$G$34:$Y$35, 2, FALSE), -3)</f>
        <v>#N/A</v>
      </c>
      <c r="AO84" s="805" t="e">
        <f>ROUNDDOWN(HLOOKUP(AO83, 'Indicator Calculations'!$G$34:$Y$35, 2, FALSE), -3)</f>
        <v>#N/A</v>
      </c>
      <c r="AP84" s="218"/>
      <c r="AQ84" s="219"/>
    </row>
    <row r="85" spans="2:44" s="9" customFormat="1" ht="15" customHeight="1" x14ac:dyDescent="0.3">
      <c r="C85" s="1093" t="e">
        <f>HLOOKUP($T$4, $U$83:$AO$87, 3, FALSE)</f>
        <v>#N/A</v>
      </c>
      <c r="D85" s="1093"/>
      <c r="E85" s="1093"/>
      <c r="F85" s="1090" t="str">
        <f>IF(Language = "English", AP82,AQ82)</f>
        <v>unsafe abortions will be averted</v>
      </c>
      <c r="G85" s="1090"/>
      <c r="H85" s="1090"/>
      <c r="Q85" s="795"/>
      <c r="U85" s="1102" t="str">
        <f>'Indicator 1-9_Results'!C21</f>
        <v>Number of unintended pregnancies averted due to modern contraceptive use</v>
      </c>
      <c r="V85" s="1102"/>
      <c r="W85" s="805" t="e">
        <f>HLOOKUP(W$83, 'Annual Results'!$B$44:$U$52, 5, FALSE)</f>
        <v>#N/A</v>
      </c>
      <c r="X85" s="805" t="e">
        <f>HLOOKUP(X$83, 'Annual Results'!$B$44:$U$52, 5, FALSE)</f>
        <v>#N/A</v>
      </c>
      <c r="Y85" s="805" t="e">
        <f>HLOOKUP(Y$83, 'Annual Results'!$B$44:$U$52, 5, FALSE)</f>
        <v>#N/A</v>
      </c>
      <c r="Z85" s="805" t="e">
        <f>HLOOKUP(Z$83, 'Annual Results'!$B$44:$U$52, 5, FALSE)</f>
        <v>#N/A</v>
      </c>
      <c r="AA85" s="805" t="e">
        <f>HLOOKUP(AA$83, 'Annual Results'!$B$44:$U$52, 5, FALSE)</f>
        <v>#N/A</v>
      </c>
      <c r="AB85" s="805" t="e">
        <f>HLOOKUP(AB$83, 'Annual Results'!$B$44:$U$52, 5, FALSE)</f>
        <v>#N/A</v>
      </c>
      <c r="AC85" s="805" t="e">
        <f>HLOOKUP(AC$83, 'Annual Results'!$B$44:$U$52, 5, FALSE)</f>
        <v>#N/A</v>
      </c>
      <c r="AD85" s="805" t="e">
        <f>HLOOKUP(AD$83, 'Annual Results'!$B$44:$U$52, 5, FALSE)</f>
        <v>#N/A</v>
      </c>
      <c r="AE85" s="805" t="e">
        <f>HLOOKUP(AE$83, 'Annual Results'!$B$44:$U$52, 5, FALSE)</f>
        <v>#N/A</v>
      </c>
      <c r="AF85" s="805" t="e">
        <f>HLOOKUP(AF$83, 'Annual Results'!$B$44:$U$52, 5, FALSE)</f>
        <v>#N/A</v>
      </c>
      <c r="AG85" s="805" t="e">
        <f>HLOOKUP(AG$83, 'Annual Results'!$B$44:$U$52, 5, FALSE)</f>
        <v>#N/A</v>
      </c>
      <c r="AH85" s="805" t="e">
        <f>HLOOKUP(AH$83, 'Annual Results'!$B$44:$U$52, 5, FALSE)</f>
        <v>#N/A</v>
      </c>
      <c r="AI85" s="805" t="e">
        <f>HLOOKUP(AI$83, 'Annual Results'!$B$44:$U$52, 5, FALSE)</f>
        <v>#N/A</v>
      </c>
      <c r="AJ85" s="805" t="e">
        <f>HLOOKUP(AJ$83, 'Annual Results'!$B$44:$U$52, 5, FALSE)</f>
        <v>#N/A</v>
      </c>
      <c r="AK85" s="805" t="e">
        <f>HLOOKUP(AK$83, 'Annual Results'!$B$44:$U$52, 5, FALSE)</f>
        <v>#N/A</v>
      </c>
      <c r="AL85" s="805" t="e">
        <f>HLOOKUP(AL$83, 'Annual Results'!$B$44:$U$52, 5, FALSE)</f>
        <v>#N/A</v>
      </c>
      <c r="AM85" s="805" t="e">
        <f>HLOOKUP(AM$83, 'Annual Results'!$B$44:$U$52, 5, FALSE)</f>
        <v>#N/A</v>
      </c>
      <c r="AN85" s="805" t="e">
        <f>HLOOKUP(AN$83, 'Annual Results'!$B$44:$U$52, 5, FALSE)</f>
        <v>#N/A</v>
      </c>
      <c r="AO85" s="805" t="e">
        <f>HLOOKUP(AO$83, 'Annual Results'!$B$44:$U$52, 5, FALSE)</f>
        <v>#N/A</v>
      </c>
      <c r="AP85" s="44" t="s">
        <v>520</v>
      </c>
      <c r="AQ85" s="44" t="s">
        <v>953</v>
      </c>
    </row>
    <row r="86" spans="2:44" s="9" customFormat="1" ht="15" customHeight="1" x14ac:dyDescent="0.3">
      <c r="C86" s="1093"/>
      <c r="D86" s="1093"/>
      <c r="E86" s="1093"/>
      <c r="F86" s="1090"/>
      <c r="G86" s="1090"/>
      <c r="H86" s="1090"/>
      <c r="K86" s="152"/>
      <c r="L86" s="152"/>
      <c r="M86" s="152"/>
      <c r="N86" s="152"/>
      <c r="O86" s="152"/>
      <c r="Q86" s="795"/>
      <c r="U86" s="1102" t="str">
        <f>'Indicator 1-9_Results'!C23</f>
        <v>Number of unsafe abortions averted due to modern contraceptive use</v>
      </c>
      <c r="V86" s="1102"/>
      <c r="W86" s="805" t="e">
        <f>HLOOKUP(W$83, 'Annual Results'!$B$44:$U$52, 7, FALSE)</f>
        <v>#N/A</v>
      </c>
      <c r="X86" s="805" t="e">
        <f>HLOOKUP(X$83, 'Annual Results'!$B$44:$U$52, 7, FALSE)</f>
        <v>#N/A</v>
      </c>
      <c r="Y86" s="805" t="e">
        <f>HLOOKUP(Y$83, 'Annual Results'!$B$44:$U$52, 7, FALSE)</f>
        <v>#N/A</v>
      </c>
      <c r="Z86" s="805" t="e">
        <f>HLOOKUP(Z$83, 'Annual Results'!$B$44:$U$52, 7, FALSE)</f>
        <v>#N/A</v>
      </c>
      <c r="AA86" s="805" t="e">
        <f>HLOOKUP(AA$83, 'Annual Results'!$B$44:$U$52, 7, FALSE)</f>
        <v>#N/A</v>
      </c>
      <c r="AB86" s="805" t="e">
        <f>HLOOKUP(AB$83, 'Annual Results'!$B$44:$U$52, 7, FALSE)</f>
        <v>#N/A</v>
      </c>
      <c r="AC86" s="805" t="e">
        <f>HLOOKUP(AC$83, 'Annual Results'!$B$44:$U$52, 7, FALSE)</f>
        <v>#N/A</v>
      </c>
      <c r="AD86" s="805" t="e">
        <f>HLOOKUP(AD$83, 'Annual Results'!$B$44:$U$52, 7, FALSE)</f>
        <v>#N/A</v>
      </c>
      <c r="AE86" s="805" t="e">
        <f>HLOOKUP(AE$83, 'Annual Results'!$B$44:$U$52, 7, FALSE)</f>
        <v>#N/A</v>
      </c>
      <c r="AF86" s="805" t="e">
        <f>HLOOKUP(AF$83, 'Annual Results'!$B$44:$U$52, 7, FALSE)</f>
        <v>#N/A</v>
      </c>
      <c r="AG86" s="805" t="e">
        <f>HLOOKUP(AG$83, 'Annual Results'!$B$44:$U$52, 7, FALSE)</f>
        <v>#N/A</v>
      </c>
      <c r="AH86" s="805" t="e">
        <f>HLOOKUP(AH$83, 'Annual Results'!$B$44:$U$52, 7, FALSE)</f>
        <v>#N/A</v>
      </c>
      <c r="AI86" s="805" t="e">
        <f>HLOOKUP(AI$83, 'Annual Results'!$B$44:$U$52, 7, FALSE)</f>
        <v>#N/A</v>
      </c>
      <c r="AJ86" s="805" t="e">
        <f>HLOOKUP(AJ$83, 'Annual Results'!$B$44:$U$52, 7, FALSE)</f>
        <v>#N/A</v>
      </c>
      <c r="AK86" s="805" t="e">
        <f>HLOOKUP(AK$83, 'Annual Results'!$B$44:$U$52, 7, FALSE)</f>
        <v>#N/A</v>
      </c>
      <c r="AL86" s="805" t="e">
        <f>HLOOKUP(AL$83, 'Annual Results'!$B$44:$U$52, 7, FALSE)</f>
        <v>#N/A</v>
      </c>
      <c r="AM86" s="805" t="e">
        <f>HLOOKUP(AM$83, 'Annual Results'!$B$44:$U$52, 7, FALSE)</f>
        <v>#N/A</v>
      </c>
      <c r="AN86" s="805" t="e">
        <f>HLOOKUP(AN$83, 'Annual Results'!$B$44:$U$52, 7, FALSE)</f>
        <v>#N/A</v>
      </c>
      <c r="AO86" s="805" t="e">
        <f>HLOOKUP(AO$83, 'Annual Results'!$B$44:$U$52, 7, FALSE)</f>
        <v>#N/A</v>
      </c>
      <c r="AP86" s="210" t="s">
        <v>589</v>
      </c>
      <c r="AQ86" s="220" t="s">
        <v>588</v>
      </c>
    </row>
    <row r="87" spans="2:44" s="9" customFormat="1" ht="15" customHeight="1" x14ac:dyDescent="0.3">
      <c r="C87" s="1093"/>
      <c r="D87" s="1093"/>
      <c r="E87" s="1093"/>
      <c r="F87" s="201"/>
      <c r="G87" s="201"/>
      <c r="H87" s="201"/>
      <c r="J87" s="152"/>
      <c r="K87" s="152"/>
      <c r="L87" s="152"/>
      <c r="M87" s="152"/>
      <c r="N87" s="152"/>
      <c r="O87" s="152"/>
      <c r="Q87" s="795"/>
      <c r="U87" s="1102" t="str">
        <f>'Indicator 1-9_Results'!C25</f>
        <v>Number of maternal deaths averted due to modern contraceptive use</v>
      </c>
      <c r="V87" s="1102"/>
      <c r="W87" s="805" t="e">
        <f>HLOOKUP(W$83, 'Annual Results'!$B$44:$U$52,9, FALSE)</f>
        <v>#N/A</v>
      </c>
      <c r="X87" s="805" t="e">
        <f>HLOOKUP(X$83, 'Annual Results'!$B$44:$U$52,9, FALSE)</f>
        <v>#N/A</v>
      </c>
      <c r="Y87" s="805" t="e">
        <f>HLOOKUP(Y$83, 'Annual Results'!$B$44:$U$52,9, FALSE)</f>
        <v>#N/A</v>
      </c>
      <c r="Z87" s="805" t="e">
        <f>HLOOKUP(Z$83, 'Annual Results'!$B$44:$U$52,9, FALSE)</f>
        <v>#N/A</v>
      </c>
      <c r="AA87" s="805" t="e">
        <f>HLOOKUP(AA$83, 'Annual Results'!$B$44:$U$52,9, FALSE)</f>
        <v>#N/A</v>
      </c>
      <c r="AB87" s="805" t="e">
        <f>HLOOKUP(AB$83, 'Annual Results'!$B$44:$U$52,9, FALSE)</f>
        <v>#N/A</v>
      </c>
      <c r="AC87" s="805" t="e">
        <f>HLOOKUP(AC$83, 'Annual Results'!$B$44:$U$52,9, FALSE)</f>
        <v>#N/A</v>
      </c>
      <c r="AD87" s="805" t="e">
        <f>HLOOKUP(AD$83, 'Annual Results'!$B$44:$U$52,9, FALSE)</f>
        <v>#N/A</v>
      </c>
      <c r="AE87" s="805" t="e">
        <f>HLOOKUP(AE$83, 'Annual Results'!$B$44:$U$52,9, FALSE)</f>
        <v>#N/A</v>
      </c>
      <c r="AF87" s="805" t="e">
        <f>HLOOKUP(AF$83, 'Annual Results'!$B$44:$U$52,9, FALSE)</f>
        <v>#N/A</v>
      </c>
      <c r="AG87" s="805" t="e">
        <f>HLOOKUP(AG$83, 'Annual Results'!$B$44:$U$52,9, FALSE)</f>
        <v>#N/A</v>
      </c>
      <c r="AH87" s="805" t="e">
        <f>HLOOKUP(AH$83, 'Annual Results'!$B$44:$U$52,9, FALSE)</f>
        <v>#N/A</v>
      </c>
      <c r="AI87" s="805" t="e">
        <f>HLOOKUP(AI$83, 'Annual Results'!$B$44:$U$52,9, FALSE)</f>
        <v>#N/A</v>
      </c>
      <c r="AJ87" s="805" t="e">
        <f>HLOOKUP(AJ$83, 'Annual Results'!$B$44:$U$52,9, FALSE)</f>
        <v>#N/A</v>
      </c>
      <c r="AK87" s="805" t="e">
        <f>HLOOKUP(AK$83, 'Annual Results'!$B$44:$U$52,9, FALSE)</f>
        <v>#N/A</v>
      </c>
      <c r="AL87" s="805" t="e">
        <f>HLOOKUP(AL$83, 'Annual Results'!$B$44:$U$52,9, FALSE)</f>
        <v>#N/A</v>
      </c>
      <c r="AM87" s="805" t="e">
        <f>HLOOKUP(AM$83, 'Annual Results'!$B$44:$U$52,9, FALSE)</f>
        <v>#N/A</v>
      </c>
      <c r="AN87" s="805" t="e">
        <f>HLOOKUP(AN$83, 'Annual Results'!$B$44:$U$52,9, FALSE)</f>
        <v>#N/A</v>
      </c>
      <c r="AO87" s="805" t="e">
        <f>HLOOKUP(AO$83, 'Annual Results'!$B$44:$U$52,9, FALSE)</f>
        <v>#N/A</v>
      </c>
      <c r="AP87" s="153" t="s">
        <v>10</v>
      </c>
      <c r="AQ87" s="219" t="s">
        <v>591</v>
      </c>
    </row>
    <row r="88" spans="2:44" s="9" customFormat="1" ht="15" customHeight="1" x14ac:dyDescent="0.45">
      <c r="C88" s="1093"/>
      <c r="D88" s="1093"/>
      <c r="E88" s="1093"/>
      <c r="F88" s="205"/>
      <c r="G88" s="204"/>
      <c r="H88" s="204"/>
      <c r="J88" s="152"/>
      <c r="K88" s="152"/>
      <c r="L88" s="152"/>
      <c r="M88" s="152"/>
      <c r="N88" s="152"/>
      <c r="O88" s="152"/>
      <c r="Q88" s="795"/>
      <c r="U88"/>
      <c r="V88"/>
      <c r="W88"/>
      <c r="X88"/>
      <c r="Y88"/>
      <c r="Z88"/>
      <c r="AP88" s="154" t="s">
        <v>516</v>
      </c>
      <c r="AQ88" s="219" t="s">
        <v>596</v>
      </c>
    </row>
    <row r="89" spans="2:44" s="9" customFormat="1" ht="15" customHeight="1" x14ac:dyDescent="0.3">
      <c r="C89" s="1088" t="str">
        <f>IF(Language = "English", AP81,AQ81)</f>
        <v>unintended pregnancies will be prevented</v>
      </c>
      <c r="D89" s="1088"/>
      <c r="E89" s="1088"/>
      <c r="F89" s="1091" t="e">
        <f>HLOOKUP($T$4, $U$83:$AO$87, 5, FALSE)</f>
        <v>#N/A</v>
      </c>
      <c r="G89" s="1091"/>
      <c r="H89" s="1091"/>
      <c r="K89" s="152"/>
      <c r="L89" s="152"/>
      <c r="M89" s="152"/>
      <c r="N89" s="152"/>
      <c r="O89" s="152"/>
      <c r="Q89" s="795"/>
      <c r="U89"/>
      <c r="V89"/>
      <c r="W89"/>
      <c r="X89"/>
      <c r="Y89"/>
      <c r="Z89"/>
      <c r="AP89" s="218"/>
      <c r="AQ89" s="219"/>
    </row>
    <row r="90" spans="2:44" s="9" customFormat="1" ht="15" customHeight="1" x14ac:dyDescent="0.3">
      <c r="C90" s="1088"/>
      <c r="D90" s="1088"/>
      <c r="E90" s="1088"/>
      <c r="F90" s="1091"/>
      <c r="G90" s="1091"/>
      <c r="H90" s="1091"/>
      <c r="J90" s="140"/>
      <c r="K90" s="140"/>
      <c r="L90" s="140"/>
      <c r="M90" s="140"/>
      <c r="N90" s="140"/>
      <c r="O90" s="140"/>
      <c r="Q90" s="795"/>
      <c r="U90"/>
      <c r="V90"/>
      <c r="W90"/>
      <c r="X90"/>
      <c r="Y90"/>
      <c r="Z90"/>
      <c r="AP90" s="218"/>
      <c r="AQ90" s="219"/>
    </row>
    <row r="91" spans="2:44" s="9" customFormat="1" ht="15" customHeight="1" x14ac:dyDescent="0.3">
      <c r="C91" s="1088"/>
      <c r="D91" s="1088"/>
      <c r="E91" s="1088"/>
      <c r="F91" s="1092" t="str">
        <f>IF(Language = "English", AP83,AQ83)</f>
        <v>maternal deaths will be averted</v>
      </c>
      <c r="G91" s="1092"/>
      <c r="H91" s="1092"/>
      <c r="J91" s="140"/>
      <c r="K91" s="140"/>
      <c r="L91" s="140"/>
      <c r="M91" s="140"/>
      <c r="N91" s="140"/>
      <c r="O91" s="140"/>
      <c r="Q91" s="795"/>
      <c r="U91"/>
      <c r="V91"/>
      <c r="W91"/>
      <c r="X91"/>
      <c r="Y91"/>
      <c r="Z91"/>
      <c r="AP91" s="218"/>
      <c r="AQ91" s="219"/>
    </row>
    <row r="92" spans="2:44" s="9" customFormat="1" ht="15" customHeight="1" x14ac:dyDescent="0.3">
      <c r="C92" s="1088"/>
      <c r="D92" s="1088"/>
      <c r="E92" s="1088"/>
      <c r="F92" s="1092"/>
      <c r="G92" s="1092"/>
      <c r="H92" s="1092"/>
      <c r="J92" s="29" t="e">
        <f>"Source : "&amp;'Assumption Review'!E78&amp;" ("&amp;'Assumption Review'!E61&amp;")"</f>
        <v>#N/A</v>
      </c>
      <c r="K92" s="140"/>
      <c r="L92" s="140"/>
      <c r="M92" s="140"/>
      <c r="N92" s="140"/>
      <c r="O92" s="140"/>
      <c r="Q92" s="795"/>
      <c r="U92"/>
      <c r="V92"/>
      <c r="W92"/>
      <c r="X92"/>
      <c r="Y92"/>
      <c r="Z92"/>
      <c r="AP92" s="218"/>
      <c r="AQ92" s="219"/>
    </row>
    <row r="93" spans="2:44" s="9" customFormat="1" ht="15" customHeight="1" x14ac:dyDescent="0.3">
      <c r="D93" s="11"/>
      <c r="J93" s="140"/>
      <c r="K93" s="140"/>
      <c r="L93" s="140"/>
      <c r="M93" s="140"/>
      <c r="N93" s="140"/>
      <c r="O93" s="140"/>
      <c r="Q93" s="795"/>
      <c r="U93"/>
      <c r="V93"/>
      <c r="W93"/>
      <c r="X93"/>
      <c r="Y93"/>
      <c r="Z93"/>
      <c r="AP93" s="218"/>
      <c r="AQ93" s="219"/>
    </row>
    <row r="94" spans="2:44" s="9" customFormat="1" ht="9" customHeight="1" x14ac:dyDescent="0.3">
      <c r="J94" s="155"/>
      <c r="Q94" s="795"/>
      <c r="U94"/>
      <c r="V94"/>
      <c r="W94"/>
      <c r="X94"/>
      <c r="Y94"/>
      <c r="Z94"/>
      <c r="AP94" s="218" t="s">
        <v>609</v>
      </c>
      <c r="AQ94" s="219" t="s">
        <v>610</v>
      </c>
    </row>
    <row r="95" spans="2:44" s="716" customFormat="1" ht="9" customHeight="1" x14ac:dyDescent="0.35">
      <c r="C95" s="733"/>
      <c r="D95" s="733"/>
      <c r="E95" s="733"/>
      <c r="F95" s="733"/>
      <c r="G95" s="733"/>
      <c r="H95" s="733"/>
      <c r="I95" s="733"/>
      <c r="J95" s="733"/>
      <c r="K95" s="733"/>
      <c r="L95" s="733"/>
      <c r="M95" s="733"/>
      <c r="N95" s="733"/>
      <c r="O95" s="733"/>
      <c r="Q95" s="795"/>
      <c r="V95" s="112"/>
      <c r="W95" s="112"/>
      <c r="X95" s="112"/>
      <c r="Y95" s="112"/>
      <c r="Z95" s="112"/>
      <c r="AP95" s="218"/>
      <c r="AQ95" s="219"/>
      <c r="AR95" s="11"/>
    </row>
    <row r="96" spans="2:44" s="716" customFormat="1" ht="43.5" customHeight="1" x14ac:dyDescent="0.3">
      <c r="B96" s="5"/>
      <c r="C96" s="1057" t="str">
        <f>IF(Language = "English", AP103,AQ103)</f>
        <v>Are Contraceptives Available at Primary and Secondary/Tertiary SDPs?</v>
      </c>
      <c r="D96" s="1057"/>
      <c r="E96" s="1057"/>
      <c r="F96" s="1057"/>
      <c r="G96" s="1057"/>
      <c r="H96" s="1057"/>
      <c r="I96" s="125"/>
      <c r="J96" s="1057" t="str">
        <f>IF(Language = "English", AP96,AQ96)</f>
        <v>What % of Facilites are Stocked Out of Contraceptive Methods?</v>
      </c>
      <c r="K96" s="1057"/>
      <c r="L96" s="1057"/>
      <c r="M96" s="1057"/>
      <c r="N96" s="1057"/>
      <c r="O96" s="1057"/>
      <c r="P96" s="5"/>
      <c r="Q96" s="795"/>
      <c r="AL96" s="327"/>
      <c r="AM96" s="327"/>
      <c r="AN96" s="327"/>
      <c r="AP96" s="218" t="s">
        <v>1160</v>
      </c>
      <c r="AQ96" t="s">
        <v>1167</v>
      </c>
    </row>
    <row r="97" spans="3:43" s="716" customFormat="1" ht="8.25" customHeight="1" x14ac:dyDescent="0.3">
      <c r="C97" s="4"/>
      <c r="D97" s="4"/>
      <c r="E97" s="4"/>
      <c r="F97" s="144"/>
      <c r="G97" s="144"/>
      <c r="H97" s="144"/>
      <c r="J97" s="145"/>
      <c r="K97" s="145"/>
      <c r="L97" s="145"/>
      <c r="M97" s="145"/>
      <c r="N97" s="145"/>
      <c r="O97" s="145"/>
      <c r="Q97" s="795"/>
      <c r="V97" s="112"/>
      <c r="W97" s="112"/>
      <c r="X97" s="112"/>
      <c r="Y97" s="112"/>
      <c r="Z97" s="112"/>
      <c r="AP97" s="218"/>
      <c r="AQ97" s="219"/>
    </row>
    <row r="98" spans="3:43" s="716" customFormat="1" ht="15" customHeight="1" x14ac:dyDescent="0.3">
      <c r="C98"/>
      <c r="D98"/>
      <c r="E98"/>
      <c r="F98"/>
      <c r="G98"/>
      <c r="H98"/>
      <c r="I98" s="108"/>
      <c r="Q98" s="795"/>
      <c r="U98"/>
      <c r="V98"/>
      <c r="W98"/>
      <c r="X98"/>
      <c r="Y98"/>
      <c r="Z98"/>
      <c r="AA98"/>
      <c r="AB98"/>
      <c r="AC98"/>
      <c r="AD98"/>
      <c r="AE98"/>
      <c r="AF98"/>
      <c r="AG98"/>
      <c r="AH98"/>
      <c r="AI98"/>
      <c r="AJ98"/>
      <c r="AK98"/>
      <c r="AL98"/>
      <c r="AM98"/>
      <c r="AN98"/>
      <c r="AO98"/>
      <c r="AP98" s="218"/>
      <c r="AQ98" s="219"/>
    </row>
    <row r="99" spans="3:43" s="716" customFormat="1" ht="15" customHeight="1" x14ac:dyDescent="0.3">
      <c r="C99"/>
      <c r="D99"/>
      <c r="E99"/>
      <c r="F99"/>
      <c r="G99"/>
      <c r="H99"/>
      <c r="I99" s="108"/>
      <c r="Q99" s="795"/>
      <c r="U99"/>
      <c r="V99">
        <f>'Additional Annual Indicators'!D30</f>
        <v>0</v>
      </c>
      <c r="W99"/>
      <c r="X99"/>
      <c r="Y99"/>
      <c r="Z99"/>
      <c r="AA99" s="731" t="s">
        <v>1103</v>
      </c>
      <c r="AB99"/>
      <c r="AC99"/>
      <c r="AD99"/>
      <c r="AE99"/>
      <c r="AF99"/>
      <c r="AG99"/>
      <c r="AH99"/>
      <c r="AI99"/>
      <c r="AJ99"/>
      <c r="AK99"/>
      <c r="AL99"/>
      <c r="AM99"/>
      <c r="AN99"/>
      <c r="AO99"/>
      <c r="AP99" s="218"/>
      <c r="AQ99" s="219"/>
    </row>
    <row r="100" spans="3:43" s="716" customFormat="1" ht="15" customHeight="1" x14ac:dyDescent="0.3">
      <c r="C100"/>
      <c r="D100"/>
      <c r="E100"/>
      <c r="F100"/>
      <c r="G100"/>
      <c r="H100"/>
      <c r="I100" s="108"/>
      <c r="Q100" s="795"/>
      <c r="U100" t="str">
        <f>IF(Language=English, AP100, AQ100)</f>
        <v>% of Primary SDPs with 3+ Methods Available</v>
      </c>
      <c r="V100" s="776" t="e">
        <f>IF('Additional Annual Indicators'!D32="", NA(), 'Additional Annual Indicators'!D32)</f>
        <v>#N/A</v>
      </c>
      <c r="W100"/>
      <c r="X100"/>
      <c r="Z100" s="256" t="str">
        <f>'Additional Annual Indicators'!C13</f>
        <v>Female sterilization</v>
      </c>
      <c r="AA100" s="777" t="e">
        <f>IF('Additional Annual Indicators'!E13="", NA(), 'Additional Annual Indicators'!E13)</f>
        <v>#N/A</v>
      </c>
      <c r="AB100" s="256"/>
      <c r="AC100"/>
      <c r="AD100"/>
      <c r="AE100"/>
      <c r="AF100"/>
      <c r="AG100"/>
      <c r="AH100"/>
      <c r="AI100"/>
      <c r="AJ100"/>
      <c r="AK100"/>
      <c r="AL100"/>
      <c r="AM100"/>
      <c r="AN100"/>
      <c r="AO100"/>
      <c r="AP100" s="716" t="s">
        <v>1158</v>
      </c>
      <c r="AQ100" s="211" t="s">
        <v>1164</v>
      </c>
    </row>
    <row r="101" spans="3:43" s="716" customFormat="1" ht="15" customHeight="1" x14ac:dyDescent="0.3">
      <c r="C101"/>
      <c r="D101"/>
      <c r="E101"/>
      <c r="F101"/>
      <c r="G101"/>
      <c r="H101"/>
      <c r="I101" s="108"/>
      <c r="Q101" s="795"/>
      <c r="U101" s="716" t="str">
        <f>IF(Language=English, AP101, AQ101)</f>
        <v>% of Secondary/Tertiary SDPs with 5+ Methods Available</v>
      </c>
      <c r="V101" s="776" t="e">
        <f>IF('Additional Annual Indicators'!D42="", NA(), 'Additional Annual Indicators'!D42)</f>
        <v>#N/A</v>
      </c>
      <c r="W101"/>
      <c r="X101"/>
      <c r="Z101" s="256" t="str">
        <f>'Additional Annual Indicators'!C14</f>
        <v>Male sterilization</v>
      </c>
      <c r="AA101" s="777" t="e">
        <f>IF('Additional Annual Indicators'!E14="", NA(), 'Additional Annual Indicators'!E14)</f>
        <v>#N/A</v>
      </c>
      <c r="AB101"/>
      <c r="AC101"/>
      <c r="AD101"/>
      <c r="AE101"/>
      <c r="AF101"/>
      <c r="AG101"/>
      <c r="AH101"/>
      <c r="AI101"/>
      <c r="AJ101"/>
      <c r="AK101"/>
      <c r="AL101"/>
      <c r="AM101"/>
      <c r="AN101"/>
      <c r="AO101"/>
      <c r="AP101" s="716" t="s">
        <v>1159</v>
      </c>
      <c r="AQ101" s="211" t="s">
        <v>1165</v>
      </c>
    </row>
    <row r="102" spans="3:43" s="716" customFormat="1" ht="15" customHeight="1" x14ac:dyDescent="0.3">
      <c r="C102"/>
      <c r="D102"/>
      <c r="E102"/>
      <c r="F102"/>
      <c r="G102"/>
      <c r="H102"/>
      <c r="I102" s="108"/>
      <c r="Q102" s="795"/>
      <c r="U102"/>
      <c r="V102"/>
      <c r="W102"/>
      <c r="X102"/>
      <c r="Z102" s="256" t="str">
        <f>'Additional Annual Indicators'!C15</f>
        <v>IUD</v>
      </c>
      <c r="AA102" s="777" t="e">
        <f>IF('Additional Annual Indicators'!E15="", NA(), 'Additional Annual Indicators'!E15)</f>
        <v>#N/A</v>
      </c>
      <c r="AB102"/>
      <c r="AC102"/>
      <c r="AD102"/>
      <c r="AE102"/>
      <c r="AF102"/>
      <c r="AG102"/>
      <c r="AH102"/>
      <c r="AI102"/>
      <c r="AJ102"/>
      <c r="AK102"/>
      <c r="AL102"/>
      <c r="AM102"/>
      <c r="AN102"/>
      <c r="AO102"/>
      <c r="AP102" s="218"/>
      <c r="AQ102" s="219"/>
    </row>
    <row r="103" spans="3:43" s="716" customFormat="1" ht="15" customHeight="1" x14ac:dyDescent="0.3">
      <c r="C103"/>
      <c r="D103"/>
      <c r="E103"/>
      <c r="F103"/>
      <c r="G103"/>
      <c r="H103"/>
      <c r="Q103" s="795"/>
      <c r="U103"/>
      <c r="V103"/>
      <c r="W103"/>
      <c r="X103"/>
      <c r="Z103" s="256" t="str">
        <f>'Additional Annual Indicators'!C16</f>
        <v>Implants</v>
      </c>
      <c r="AA103" s="777" t="e">
        <f>IF('Additional Annual Indicators'!E16="", NA(), 'Additional Annual Indicators'!E16)</f>
        <v>#N/A</v>
      </c>
      <c r="AB103"/>
      <c r="AC103"/>
      <c r="AD103"/>
      <c r="AE103"/>
      <c r="AF103"/>
      <c r="AG103"/>
      <c r="AH103"/>
      <c r="AI103"/>
      <c r="AJ103"/>
      <c r="AK103"/>
      <c r="AL103"/>
      <c r="AM103"/>
      <c r="AN103"/>
      <c r="AO103"/>
      <c r="AP103" s="210" t="s">
        <v>1157</v>
      </c>
      <c r="AQ103" t="s">
        <v>1166</v>
      </c>
    </row>
    <row r="104" spans="3:43" s="716" customFormat="1" ht="15" customHeight="1" x14ac:dyDescent="0.3">
      <c r="C104"/>
      <c r="D104"/>
      <c r="E104"/>
      <c r="F104"/>
      <c r="G104"/>
      <c r="H104"/>
      <c r="Q104" s="795"/>
      <c r="U104"/>
      <c r="V104"/>
      <c r="W104"/>
      <c r="X104"/>
      <c r="Z104" s="256" t="str">
        <f>'Additional Annual Indicators'!C17</f>
        <v>Injections</v>
      </c>
      <c r="AA104" s="777" t="e">
        <f>IF('Additional Annual Indicators'!E17="", NA(), 'Additional Annual Indicators'!E17)</f>
        <v>#N/A</v>
      </c>
      <c r="AB104"/>
      <c r="AC104"/>
      <c r="AD104"/>
      <c r="AE104"/>
      <c r="AF104"/>
      <c r="AG104"/>
      <c r="AH104"/>
      <c r="AI104"/>
      <c r="AJ104"/>
      <c r="AK104"/>
      <c r="AL104"/>
      <c r="AM104"/>
      <c r="AN104"/>
      <c r="AO104"/>
      <c r="AP104" s="218"/>
      <c r="AQ104" s="219"/>
    </row>
    <row r="105" spans="3:43" s="716" customFormat="1" ht="15" customHeight="1" x14ac:dyDescent="0.3">
      <c r="C105"/>
      <c r="D105" s="1058" t="str">
        <f>IF(AND(ISERROR(V100), ISERROR(V101)), AO2, "")</f>
        <v>Data Unavailable</v>
      </c>
      <c r="E105" s="1058"/>
      <c r="F105" s="1058"/>
      <c r="G105" s="1058"/>
      <c r="H105"/>
      <c r="K105" s="1058" t="str">
        <f>IF(AND(ISERROR(AA105), ISERROR(AA104)), $AO$2, "")</f>
        <v>Data Unavailable</v>
      </c>
      <c r="L105" s="1058"/>
      <c r="M105" s="1058"/>
      <c r="N105" s="1058"/>
      <c r="Q105" s="795"/>
      <c r="U105"/>
      <c r="V105"/>
      <c r="W105"/>
      <c r="X105"/>
      <c r="Z105" s="256" t="str">
        <f>'Additional Annual Indicators'!C18</f>
        <v>Pill</v>
      </c>
      <c r="AA105" s="777" t="e">
        <f>IF('Additional Annual Indicators'!E18="", NA(), 'Additional Annual Indicators'!E18)</f>
        <v>#N/A</v>
      </c>
      <c r="AB105"/>
      <c r="AC105"/>
      <c r="AD105"/>
      <c r="AE105"/>
      <c r="AF105"/>
      <c r="AG105"/>
      <c r="AH105"/>
      <c r="AI105"/>
      <c r="AJ105"/>
      <c r="AK105"/>
      <c r="AL105"/>
      <c r="AM105"/>
      <c r="AN105"/>
      <c r="AO105"/>
      <c r="AP105" s="218"/>
      <c r="AQ105" s="219"/>
    </row>
    <row r="106" spans="3:43" s="716" customFormat="1" ht="15" customHeight="1" x14ac:dyDescent="0.3">
      <c r="C106"/>
      <c r="D106" s="1058"/>
      <c r="E106" s="1058"/>
      <c r="F106" s="1058"/>
      <c r="G106" s="1058"/>
      <c r="H106"/>
      <c r="K106" s="1058"/>
      <c r="L106" s="1058"/>
      <c r="M106" s="1058"/>
      <c r="N106" s="1058"/>
      <c r="Q106" s="795"/>
      <c r="U106"/>
      <c r="V106"/>
      <c r="W106"/>
      <c r="X106"/>
      <c r="Z106" s="256" t="str">
        <f>'Additional Annual Indicators'!C19</f>
        <v>Male Condom</v>
      </c>
      <c r="AA106" s="777" t="e">
        <f>IF('Additional Annual Indicators'!E19="", NA(), 'Additional Annual Indicators'!E19)</f>
        <v>#N/A</v>
      </c>
      <c r="AB106"/>
      <c r="AC106"/>
      <c r="AD106"/>
      <c r="AE106"/>
      <c r="AF106"/>
      <c r="AG106"/>
      <c r="AH106"/>
      <c r="AI106"/>
      <c r="AJ106"/>
      <c r="AK106"/>
      <c r="AL106"/>
      <c r="AM106"/>
      <c r="AN106"/>
      <c r="AO106"/>
      <c r="AP106" s="218"/>
      <c r="AQ106" s="219"/>
    </row>
    <row r="107" spans="3:43" s="716" customFormat="1" ht="15" customHeight="1" x14ac:dyDescent="0.3">
      <c r="C107"/>
      <c r="D107"/>
      <c r="E107"/>
      <c r="F107"/>
      <c r="G107"/>
      <c r="H107"/>
      <c r="Q107" s="795"/>
      <c r="U107"/>
      <c r="V107"/>
      <c r="W107"/>
      <c r="X107"/>
      <c r="Z107" s="256" t="str">
        <f>'Additional Annual Indicators'!C20</f>
        <v>Female Condom</v>
      </c>
      <c r="AA107" s="777" t="e">
        <f>IF('Additional Annual Indicators'!E20="", NA(), 'Additional Annual Indicators'!E20)</f>
        <v>#N/A</v>
      </c>
      <c r="AB107"/>
      <c r="AC107"/>
      <c r="AD107"/>
      <c r="AE107"/>
      <c r="AF107"/>
      <c r="AG107"/>
      <c r="AH107"/>
      <c r="AI107"/>
      <c r="AJ107"/>
      <c r="AK107"/>
      <c r="AL107"/>
      <c r="AM107"/>
      <c r="AN107"/>
      <c r="AO107"/>
      <c r="AP107" s="218"/>
      <c r="AQ107" s="219"/>
    </row>
    <row r="108" spans="3:43" s="716" customFormat="1" ht="22.5" customHeight="1" x14ac:dyDescent="0.3">
      <c r="C108"/>
      <c r="D108"/>
      <c r="E108"/>
      <c r="F108"/>
      <c r="G108"/>
      <c r="H108"/>
      <c r="Q108" s="795"/>
      <c r="U108"/>
      <c r="V108"/>
      <c r="W108"/>
      <c r="X108"/>
      <c r="Z108" s="256" t="str">
        <f>'Additional Annual Indicators'!C21</f>
        <v>Emergency Contraception</v>
      </c>
      <c r="AA108" s="777" t="e">
        <f>IF('Additional Annual Indicators'!E21="", NA(), 'Additional Annual Indicators'!E21)</f>
        <v>#N/A</v>
      </c>
      <c r="AB108"/>
      <c r="AC108"/>
      <c r="AD108"/>
      <c r="AE108"/>
      <c r="AF108"/>
      <c r="AG108"/>
      <c r="AH108"/>
      <c r="AI108"/>
      <c r="AJ108"/>
      <c r="AK108"/>
      <c r="AL108"/>
      <c r="AM108"/>
      <c r="AN108"/>
      <c r="AO108"/>
      <c r="AP108" s="218"/>
    </row>
    <row r="109" spans="3:43" s="716" customFormat="1" ht="15" customHeight="1" x14ac:dyDescent="0.3">
      <c r="C109"/>
      <c r="D109"/>
      <c r="E109"/>
      <c r="F109"/>
      <c r="G109"/>
      <c r="H109"/>
      <c r="Q109" s="795"/>
      <c r="U109"/>
      <c r="V109"/>
      <c r="W109"/>
      <c r="X109"/>
      <c r="Z109" s="256" t="str">
        <f>'Additional Annual Indicators'!C22</f>
        <v>Other modern methods</v>
      </c>
      <c r="AA109" s="777" t="e">
        <f>IF('Additional Annual Indicators'!E22="", NA(), 'Additional Annual Indicators'!E22)</f>
        <v>#N/A</v>
      </c>
      <c r="AB109"/>
      <c r="AC109"/>
      <c r="AD109"/>
      <c r="AE109"/>
      <c r="AF109"/>
      <c r="AG109"/>
      <c r="AH109"/>
      <c r="AI109"/>
      <c r="AJ109"/>
      <c r="AK109"/>
      <c r="AL109"/>
      <c r="AM109"/>
      <c r="AN109"/>
      <c r="AO109"/>
      <c r="AP109" s="218"/>
      <c r="AQ109" s="219"/>
    </row>
    <row r="110" spans="3:43" s="716" customFormat="1" ht="15" customHeight="1" x14ac:dyDescent="0.3">
      <c r="C110"/>
      <c r="D110"/>
      <c r="E110"/>
      <c r="F110"/>
      <c r="G110"/>
      <c r="H110"/>
      <c r="Q110" s="795"/>
      <c r="U110"/>
      <c r="V110"/>
      <c r="W110"/>
      <c r="X110"/>
      <c r="Y110"/>
      <c r="Z110"/>
      <c r="AA110"/>
      <c r="AB110"/>
      <c r="AC110"/>
      <c r="AD110"/>
      <c r="AE110"/>
      <c r="AF110"/>
      <c r="AG110"/>
      <c r="AH110"/>
      <c r="AI110"/>
      <c r="AJ110"/>
      <c r="AK110"/>
      <c r="AL110"/>
      <c r="AM110"/>
      <c r="AN110"/>
      <c r="AO110"/>
      <c r="AP110" s="218"/>
      <c r="AQ110" s="219"/>
    </row>
    <row r="111" spans="3:43" s="716" customFormat="1" ht="15" customHeight="1" x14ac:dyDescent="0.3">
      <c r="C111"/>
      <c r="D111"/>
      <c r="E111"/>
      <c r="F111"/>
      <c r="G111"/>
      <c r="H111"/>
      <c r="Q111" s="795"/>
      <c r="U111"/>
      <c r="V111"/>
      <c r="W111"/>
      <c r="X111"/>
      <c r="Y111"/>
      <c r="Z111"/>
      <c r="AA111"/>
      <c r="AB111"/>
      <c r="AC111"/>
      <c r="AD111"/>
      <c r="AE111"/>
      <c r="AF111"/>
      <c r="AG111"/>
      <c r="AH111"/>
      <c r="AI111"/>
      <c r="AJ111"/>
      <c r="AK111"/>
      <c r="AL111"/>
      <c r="AM111"/>
      <c r="AN111"/>
      <c r="AO111"/>
      <c r="AP111" s="44"/>
      <c r="AQ111" s="44"/>
    </row>
    <row r="112" spans="3:43" s="716" customFormat="1" ht="15" customHeight="1" x14ac:dyDescent="0.3">
      <c r="C112"/>
      <c r="D112"/>
      <c r="E112"/>
      <c r="F112"/>
      <c r="G112"/>
      <c r="H112"/>
      <c r="K112" s="152"/>
      <c r="L112" s="152"/>
      <c r="M112" s="152"/>
      <c r="N112" s="152"/>
      <c r="O112" s="152"/>
      <c r="Q112" s="795"/>
      <c r="U112"/>
      <c r="V112"/>
      <c r="W112"/>
      <c r="X112"/>
      <c r="Y112"/>
      <c r="Z112"/>
      <c r="AA112"/>
      <c r="AB112"/>
      <c r="AC112"/>
      <c r="AD112"/>
      <c r="AE112"/>
      <c r="AF112"/>
      <c r="AG112"/>
      <c r="AH112"/>
      <c r="AI112"/>
      <c r="AJ112"/>
      <c r="AK112"/>
      <c r="AL112"/>
      <c r="AM112"/>
      <c r="AN112"/>
      <c r="AO112"/>
      <c r="AP112" s="210"/>
      <c r="AQ112" s="220"/>
    </row>
    <row r="113" spans="2:43" s="716" customFormat="1" ht="15" customHeight="1" x14ac:dyDescent="0.3">
      <c r="C113"/>
      <c r="D113"/>
      <c r="E113"/>
      <c r="F113"/>
      <c r="G113"/>
      <c r="H113"/>
      <c r="J113" s="152"/>
      <c r="K113" s="152"/>
      <c r="L113" s="152"/>
      <c r="M113" s="152"/>
      <c r="N113" s="152"/>
      <c r="O113" s="152"/>
      <c r="Q113" s="795"/>
      <c r="U113"/>
      <c r="V113"/>
      <c r="W113"/>
      <c r="X113"/>
      <c r="Y113"/>
      <c r="Z113"/>
      <c r="AA113"/>
      <c r="AB113"/>
      <c r="AC113"/>
      <c r="AD113"/>
      <c r="AE113"/>
      <c r="AF113"/>
      <c r="AG113"/>
      <c r="AH113"/>
      <c r="AI113"/>
      <c r="AJ113"/>
      <c r="AK113"/>
      <c r="AL113"/>
      <c r="AM113"/>
      <c r="AN113"/>
      <c r="AO113"/>
      <c r="AP113" s="153"/>
      <c r="AQ113" s="219"/>
    </row>
    <row r="114" spans="2:43" s="716" customFormat="1" ht="15" customHeight="1" x14ac:dyDescent="0.3">
      <c r="C114"/>
      <c r="D114"/>
      <c r="E114"/>
      <c r="F114"/>
      <c r="G114"/>
      <c r="H114"/>
      <c r="J114" s="152"/>
      <c r="K114" s="152"/>
      <c r="L114" s="152"/>
      <c r="M114" s="152"/>
      <c r="N114" s="152"/>
      <c r="O114" s="152"/>
      <c r="Q114" s="795"/>
      <c r="U114"/>
      <c r="V114"/>
      <c r="W114"/>
      <c r="X114"/>
      <c r="Y114"/>
      <c r="Z114"/>
      <c r="AA114"/>
      <c r="AB114"/>
      <c r="AC114"/>
      <c r="AD114"/>
      <c r="AE114"/>
      <c r="AF114"/>
      <c r="AG114"/>
      <c r="AH114"/>
      <c r="AI114"/>
      <c r="AJ114"/>
      <c r="AK114"/>
      <c r="AL114"/>
      <c r="AM114"/>
      <c r="AN114"/>
      <c r="AO114"/>
      <c r="AP114" s="154"/>
      <c r="AQ114" s="219"/>
    </row>
    <row r="115" spans="2:43" s="716" customFormat="1" ht="15" customHeight="1" x14ac:dyDescent="0.3">
      <c r="C115"/>
      <c r="D115"/>
      <c r="E115"/>
      <c r="F115"/>
      <c r="G115"/>
      <c r="H115"/>
      <c r="K115" s="152"/>
      <c r="L115" s="152"/>
      <c r="M115" s="152"/>
      <c r="N115" s="152"/>
      <c r="O115" s="152"/>
      <c r="Q115" s="795"/>
      <c r="AP115" s="218"/>
      <c r="AQ115" s="219"/>
    </row>
    <row r="116" spans="2:43" s="716" customFormat="1" ht="15" customHeight="1" x14ac:dyDescent="0.3">
      <c r="C116"/>
      <c r="D116"/>
      <c r="E116"/>
      <c r="F116"/>
      <c r="G116"/>
      <c r="H116"/>
      <c r="J116" s="140"/>
      <c r="K116" s="140"/>
      <c r="L116" s="140"/>
      <c r="M116" s="140"/>
      <c r="N116" s="140"/>
      <c r="O116" s="140"/>
      <c r="Q116" s="795"/>
      <c r="AP116" s="218"/>
      <c r="AQ116" s="219"/>
    </row>
    <row r="117" spans="2:43" s="716" customFormat="1" ht="15" customHeight="1" x14ac:dyDescent="0.3">
      <c r="C117"/>
      <c r="D117"/>
      <c r="E117"/>
      <c r="F117"/>
      <c r="G117"/>
      <c r="H117"/>
      <c r="J117" s="140"/>
      <c r="K117" s="140"/>
      <c r="L117" s="140"/>
      <c r="M117" s="140"/>
      <c r="N117" s="140"/>
      <c r="O117" s="140"/>
      <c r="Q117" s="795"/>
      <c r="AP117" s="218"/>
      <c r="AQ117" s="219"/>
    </row>
    <row r="118" spans="2:43" s="716" customFormat="1" ht="15" customHeight="1" x14ac:dyDescent="0.3">
      <c r="C118" s="29" t="str">
        <f>"Source : " &amp; 'Additional Annual Indicators'!D29 &amp; " - "&amp;'Additional Annual Indicators'!D30</f>
        <v xml:space="preserve">Source :  - </v>
      </c>
      <c r="D118"/>
      <c r="E118"/>
      <c r="F118"/>
      <c r="G118"/>
      <c r="H118"/>
      <c r="J118" s="29" t="str">
        <f>"Source : "&amp;'Additional Annual Indicators'!D9&amp;" - "&amp;'Additional Annual Indicators'!D10</f>
        <v xml:space="preserve">Source :  - </v>
      </c>
      <c r="K118" s="140"/>
      <c r="L118" s="140"/>
      <c r="M118" s="140"/>
      <c r="N118" s="140"/>
      <c r="O118" s="140"/>
      <c r="Q118" s="795"/>
      <c r="AP118" s="218"/>
      <c r="AQ118" s="219"/>
    </row>
    <row r="119" spans="2:43" s="716" customFormat="1" ht="15" customHeight="1" x14ac:dyDescent="0.3">
      <c r="D119" s="11"/>
      <c r="J119" s="140"/>
      <c r="K119" s="140"/>
      <c r="L119" s="140"/>
      <c r="M119" s="140"/>
      <c r="N119" s="140"/>
      <c r="O119" s="140"/>
      <c r="Q119" s="795"/>
      <c r="AP119" s="218"/>
      <c r="AQ119" s="219"/>
    </row>
    <row r="120" spans="2:43" s="716" customFormat="1" ht="15" customHeight="1" x14ac:dyDescent="0.3">
      <c r="D120" s="11"/>
      <c r="J120" s="140"/>
      <c r="K120" s="140"/>
      <c r="L120" s="140"/>
      <c r="M120" s="140"/>
      <c r="N120" s="140"/>
      <c r="O120" s="140"/>
      <c r="Q120" s="795"/>
      <c r="AP120" s="218"/>
      <c r="AQ120" s="219"/>
    </row>
    <row r="121" spans="2:43" s="716" customFormat="1" ht="43.5" customHeight="1" x14ac:dyDescent="0.3">
      <c r="B121" s="5"/>
      <c r="C121" s="1057" t="str">
        <f>IF(Language = "English", AP122,AQ122)</f>
        <v>Are we investing domestic resources in contraception?</v>
      </c>
      <c r="D121" s="1057"/>
      <c r="E121" s="1057"/>
      <c r="F121" s="1057"/>
      <c r="G121" s="1057"/>
      <c r="H121" s="1057"/>
      <c r="I121" s="125"/>
      <c r="J121" s="1057" t="str">
        <f>IF(Language = "English", AP121,AQ121)</f>
        <v>Are we scaling up family planning service provision (CYPs)?</v>
      </c>
      <c r="K121" s="1057"/>
      <c r="L121" s="1057"/>
      <c r="M121" s="1057"/>
      <c r="N121" s="1057"/>
      <c r="O121" s="1057"/>
      <c r="P121" s="5"/>
      <c r="Q121" s="795"/>
      <c r="AL121" s="327"/>
      <c r="AM121" s="327"/>
      <c r="AN121" s="327"/>
      <c r="AP121" s="218" t="s">
        <v>1172</v>
      </c>
      <c r="AQ121" t="s">
        <v>1173</v>
      </c>
    </row>
    <row r="122" spans="2:43" s="5" customFormat="1" ht="43.5" customHeight="1" x14ac:dyDescent="0.3">
      <c r="C122" s="591"/>
      <c r="D122" s="591"/>
      <c r="E122" s="591"/>
      <c r="F122" s="591"/>
      <c r="G122" s="591"/>
      <c r="H122" s="591"/>
      <c r="I122" s="778"/>
      <c r="J122" s="591"/>
      <c r="K122" s="591"/>
      <c r="L122" s="591"/>
      <c r="M122" s="591"/>
      <c r="N122" s="591"/>
      <c r="O122" s="591"/>
      <c r="Q122" s="795"/>
      <c r="AL122" s="779"/>
      <c r="AM122" s="779"/>
      <c r="AN122" s="779"/>
      <c r="AP122" s="780" t="s">
        <v>1161</v>
      </c>
      <c r="AQ122" t="s">
        <v>1171</v>
      </c>
    </row>
    <row r="123" spans="2:43" s="5" customFormat="1" ht="43.5" customHeight="1" x14ac:dyDescent="0.3">
      <c r="C123" s="591"/>
      <c r="D123" s="591"/>
      <c r="E123" s="591"/>
      <c r="F123" s="591"/>
      <c r="G123" s="591"/>
      <c r="H123" s="591"/>
      <c r="I123" s="778"/>
      <c r="J123" s="591"/>
      <c r="K123" s="591"/>
      <c r="L123" s="591"/>
      <c r="M123" s="591"/>
      <c r="N123" s="591"/>
      <c r="O123" s="591"/>
      <c r="Q123" s="795"/>
      <c r="T123" s="716"/>
      <c r="U123" s="701">
        <v>2012</v>
      </c>
      <c r="V123" s="701">
        <v>2013</v>
      </c>
      <c r="W123" s="701">
        <v>2014</v>
      </c>
      <c r="X123" s="701">
        <v>2015</v>
      </c>
      <c r="Y123" s="701">
        <v>2016</v>
      </c>
      <c r="Z123" s="701">
        <v>2017</v>
      </c>
      <c r="AA123" s="701">
        <v>2018</v>
      </c>
      <c r="AB123" s="558">
        <v>2019</v>
      </c>
      <c r="AC123" s="558">
        <v>2020</v>
      </c>
      <c r="AD123" s="701">
        <v>2021</v>
      </c>
      <c r="AL123" s="779"/>
      <c r="AM123" s="779"/>
      <c r="AN123" s="779"/>
      <c r="AP123" s="780" t="s">
        <v>1162</v>
      </c>
      <c r="AQ123" s="781" t="s">
        <v>1163</v>
      </c>
    </row>
    <row r="124" spans="2:43" s="5" customFormat="1" ht="43.5" customHeight="1" x14ac:dyDescent="0.45">
      <c r="C124" s="591"/>
      <c r="D124" s="1058" t="str">
        <f>IF(SUM(U126:AD126)=0, $AO$2, "")</f>
        <v>Data Unavailable</v>
      </c>
      <c r="E124" s="1058"/>
      <c r="F124" s="1058"/>
      <c r="G124" s="1058"/>
      <c r="H124" s="591"/>
      <c r="I124" s="778"/>
      <c r="J124" s="591"/>
      <c r="K124" s="1058" t="str">
        <f>IF(SUM(U124:AD124)=0, $AO$2, "")</f>
        <v>Data Unavailable</v>
      </c>
      <c r="L124" s="1058"/>
      <c r="M124" s="1058"/>
      <c r="N124" s="1058"/>
      <c r="O124" s="591"/>
      <c r="Q124" s="795"/>
      <c r="T124" s="732" t="str">
        <f>IF(Language=English, AP123, AQ123)</f>
        <v>CYP</v>
      </c>
      <c r="U124" s="782">
        <f>'Additional Annual Indicators'!D54</f>
        <v>0</v>
      </c>
      <c r="V124" s="782">
        <f>'Additional Annual Indicators'!E54</f>
        <v>0</v>
      </c>
      <c r="W124" s="782">
        <f>'Additional Annual Indicators'!F54</f>
        <v>0</v>
      </c>
      <c r="X124" s="782">
        <f>'Additional Annual Indicators'!G54</f>
        <v>0</v>
      </c>
      <c r="Y124" s="782">
        <f>'Additional Annual Indicators'!H54</f>
        <v>0</v>
      </c>
      <c r="Z124" s="782">
        <f>'Additional Annual Indicators'!I54</f>
        <v>0</v>
      </c>
      <c r="AA124" s="782">
        <f>'Additional Annual Indicators'!J54</f>
        <v>0</v>
      </c>
      <c r="AB124" s="782">
        <f>'Additional Annual Indicators'!K54</f>
        <v>0</v>
      </c>
      <c r="AC124" s="782">
        <f>'Additional Annual Indicators'!L54</f>
        <v>0</v>
      </c>
      <c r="AD124" s="782">
        <f>'Additional Annual Indicators'!M54</f>
        <v>0</v>
      </c>
      <c r="AL124" s="779"/>
      <c r="AM124" s="779"/>
      <c r="AN124" s="779"/>
      <c r="AP124" s="780"/>
      <c r="AQ124" s="781"/>
    </row>
    <row r="125" spans="2:43" s="5" customFormat="1" ht="43.5" customHeight="1" x14ac:dyDescent="0.45">
      <c r="C125" s="591"/>
      <c r="D125" s="784"/>
      <c r="E125" s="784"/>
      <c r="F125" s="784"/>
      <c r="G125" s="784"/>
      <c r="H125" s="591"/>
      <c r="I125" s="778"/>
      <c r="J125" s="591"/>
      <c r="K125" s="591"/>
      <c r="L125" s="591"/>
      <c r="M125" s="591"/>
      <c r="N125" s="591"/>
      <c r="O125" s="591"/>
      <c r="Q125" s="795"/>
      <c r="T125" s="716"/>
      <c r="U125" s="701">
        <v>2012</v>
      </c>
      <c r="V125" s="701">
        <v>2013</v>
      </c>
      <c r="W125" s="701">
        <v>2014</v>
      </c>
      <c r="X125" s="701">
        <v>2015</v>
      </c>
      <c r="Y125" s="701">
        <v>2016</v>
      </c>
      <c r="Z125" s="701">
        <v>2017</v>
      </c>
      <c r="AA125" s="701">
        <v>2018</v>
      </c>
      <c r="AB125" s="558">
        <v>2019</v>
      </c>
      <c r="AC125" s="558">
        <v>2020</v>
      </c>
      <c r="AD125" s="701">
        <v>2021</v>
      </c>
      <c r="AL125" s="779"/>
      <c r="AM125" s="779"/>
      <c r="AN125" s="779"/>
      <c r="AP125" s="780"/>
      <c r="AQ125" s="781" t="s">
        <v>1170</v>
      </c>
    </row>
    <row r="126" spans="2:43" s="5" customFormat="1" ht="43.5" customHeight="1" x14ac:dyDescent="0.3">
      <c r="C126" s="591"/>
      <c r="D126" s="591"/>
      <c r="E126" s="591"/>
      <c r="F126" s="591"/>
      <c r="G126" s="591"/>
      <c r="H126" s="591"/>
      <c r="I126" s="778"/>
      <c r="J126" s="591"/>
      <c r="K126" s="591"/>
      <c r="L126" s="591"/>
      <c r="M126" s="591"/>
      <c r="N126" s="591"/>
      <c r="O126" s="591"/>
      <c r="Q126" s="795"/>
      <c r="T126" s="615" t="str">
        <f>IF(Language=English, AP126, AQ126)&amp;T127</f>
        <v>Domestic Governement Expenditure ()</v>
      </c>
      <c r="U126" s="783">
        <f>'Additional Annual Indicators'!D65</f>
        <v>0</v>
      </c>
      <c r="V126" s="783">
        <f>'Additional Annual Indicators'!E65</f>
        <v>0</v>
      </c>
      <c r="W126" s="783">
        <f>'Additional Annual Indicators'!F65</f>
        <v>0</v>
      </c>
      <c r="X126" s="783">
        <f>'Additional Annual Indicators'!G65</f>
        <v>0</v>
      </c>
      <c r="Y126" s="783">
        <f>'Additional Annual Indicators'!H65</f>
        <v>0</v>
      </c>
      <c r="Z126" s="783">
        <f>'Additional Annual Indicators'!I65</f>
        <v>0</v>
      </c>
      <c r="AA126" s="783">
        <f>'Additional Annual Indicators'!J65</f>
        <v>0</v>
      </c>
      <c r="AB126" s="783">
        <f>'Additional Annual Indicators'!K65</f>
        <v>0</v>
      </c>
      <c r="AC126" s="783">
        <f>'Additional Annual Indicators'!L65</f>
        <v>0</v>
      </c>
      <c r="AD126" s="783">
        <f>'Additional Annual Indicators'!M65</f>
        <v>0</v>
      </c>
      <c r="AL126" s="779"/>
      <c r="AM126" s="779"/>
      <c r="AN126" s="779"/>
      <c r="AP126" s="780" t="s">
        <v>1168</v>
      </c>
      <c r="AQ126" s="781" t="s">
        <v>1169</v>
      </c>
    </row>
    <row r="127" spans="2:43" s="716" customFormat="1" ht="15" customHeight="1" x14ac:dyDescent="0.3">
      <c r="D127" s="11"/>
      <c r="J127" s="140"/>
      <c r="K127" s="140"/>
      <c r="L127" s="140"/>
      <c r="M127" s="140"/>
      <c r="N127" s="140"/>
      <c r="O127" s="140"/>
      <c r="Q127" s="795"/>
      <c r="T127" s="716" t="str">
        <f>" ("&amp;'Additional Annual Indicators'!D62&amp;")"</f>
        <v xml:space="preserve"> ()</v>
      </c>
      <c r="AP127" s="218"/>
      <c r="AQ127" s="219"/>
    </row>
    <row r="128" spans="2:43" s="716" customFormat="1" ht="15" customHeight="1" x14ac:dyDescent="0.3">
      <c r="D128" s="11"/>
      <c r="J128" s="140"/>
      <c r="K128" s="140"/>
      <c r="L128" s="140"/>
      <c r="M128" s="140"/>
      <c r="N128" s="140"/>
      <c r="O128" s="140"/>
      <c r="Q128" s="795"/>
      <c r="AP128" s="218"/>
      <c r="AQ128" s="219"/>
    </row>
    <row r="129" spans="1:43" s="716" customFormat="1" ht="15" customHeight="1" x14ac:dyDescent="0.3">
      <c r="D129" s="11"/>
      <c r="J129" s="140"/>
      <c r="K129" s="140"/>
      <c r="L129" s="140"/>
      <c r="M129" s="140"/>
      <c r="N129" s="140"/>
      <c r="O129" s="140"/>
      <c r="Q129" s="795"/>
      <c r="AP129" s="218"/>
      <c r="AQ129" s="219"/>
    </row>
    <row r="130" spans="1:43" s="716" customFormat="1" ht="15" customHeight="1" x14ac:dyDescent="0.3">
      <c r="C130" s="29" t="str">
        <f>"Source : "&amp;IF('Additional Annual Indicators'!D61="", "---", 'Additional Annual Indicators'!D61)</f>
        <v>Source : ---</v>
      </c>
      <c r="D130" s="11"/>
      <c r="J130" s="29" t="str">
        <f>"Source : "&amp;IF('Additional Annual Indicators'!D50="", "---", 'Additional Annual Indicators'!D50&amp;", "&amp;'Additional Annual Indicators'!D51)</f>
        <v>Source : ---</v>
      </c>
      <c r="K130" s="140"/>
      <c r="L130" s="140"/>
      <c r="M130" s="140"/>
      <c r="N130" s="140"/>
      <c r="O130" s="140"/>
      <c r="Q130" s="795"/>
      <c r="AP130" s="218"/>
      <c r="AQ130" s="219"/>
    </row>
    <row r="131" spans="1:43" s="716" customFormat="1" ht="15" customHeight="1" x14ac:dyDescent="0.3">
      <c r="J131" s="155"/>
      <c r="Q131" s="795"/>
      <c r="AP131" s="218" t="s">
        <v>609</v>
      </c>
      <c r="AQ131" s="219" t="s">
        <v>610</v>
      </c>
    </row>
    <row r="132" spans="1:43" s="9" customFormat="1" ht="63" customHeight="1" x14ac:dyDescent="0.3">
      <c r="E132" s="1087" t="str">
        <f>IF(Language = "English", AP132,AQ132)</f>
        <v xml:space="preserve">For more information, contact , 
</v>
      </c>
      <c r="F132" s="1087"/>
      <c r="G132" s="1087"/>
      <c r="H132" s="1087"/>
      <c r="I132" s="1087"/>
      <c r="J132" s="1087"/>
      <c r="K132" s="1087"/>
      <c r="L132" s="1087"/>
      <c r="M132" s="1104" t="str">
        <f>T10&amp;TEXT(T4, 0)</f>
        <v>2022</v>
      </c>
      <c r="N132" s="1104"/>
      <c r="O132" s="1104"/>
      <c r="P132" s="1104"/>
      <c r="Q132" s="799"/>
      <c r="U132"/>
      <c r="V132"/>
      <c r="W132"/>
      <c r="X132"/>
      <c r="Y132"/>
      <c r="Z132"/>
      <c r="AP132" s="210" t="str">
        <f>"For more information, contact "&amp;T5&amp;", "&amp;T8&amp;"
"&amp;T7</f>
        <v xml:space="preserve">For more information, contact , 
</v>
      </c>
      <c r="AQ132" s="220" t="str">
        <f>"Pour de plus amples informations, veuillez contacter "&amp;T5&amp;", "&amp;T8&amp;"
"&amp;T7</f>
        <v xml:space="preserve">Pour de plus amples informations, veuillez contacter , 
</v>
      </c>
    </row>
    <row r="133" spans="1:43" s="9" customFormat="1" ht="14.4" customHeight="1" x14ac:dyDescent="0.4">
      <c r="B133" s="416"/>
      <c r="C133" s="1095"/>
      <c r="D133" s="1095"/>
      <c r="E133" s="1095"/>
      <c r="F133" s="1095"/>
      <c r="G133" s="1095"/>
      <c r="H133" s="1095"/>
      <c r="I133" s="1095"/>
      <c r="J133" s="1095"/>
      <c r="K133" s="1095"/>
      <c r="L133" s="1095"/>
      <c r="M133" s="1095"/>
      <c r="N133" s="1095"/>
      <c r="O133" s="1095"/>
      <c r="P133" s="416"/>
      <c r="Q133" s="796"/>
      <c r="U133" s="142"/>
      <c r="V133" s="112"/>
      <c r="W133" s="112"/>
      <c r="X133" s="112"/>
      <c r="Y133" s="112"/>
      <c r="Z133" s="112"/>
      <c r="AP133" s="210" t="s">
        <v>514</v>
      </c>
      <c r="AQ133" s="220" t="s">
        <v>582</v>
      </c>
    </row>
    <row r="134" spans="1:43" x14ac:dyDescent="0.3">
      <c r="A134" s="795"/>
      <c r="B134" s="795"/>
      <c r="C134" s="795"/>
      <c r="D134" s="795"/>
      <c r="E134" s="795"/>
      <c r="F134" s="795"/>
      <c r="G134" s="795"/>
      <c r="H134" s="795"/>
      <c r="I134" s="795"/>
      <c r="J134" s="795"/>
      <c r="K134" s="795"/>
      <c r="L134" s="795"/>
      <c r="M134" s="795"/>
      <c r="N134" s="795"/>
      <c r="O134" s="795"/>
      <c r="P134" s="795"/>
      <c r="Q134" s="795"/>
    </row>
    <row r="135" spans="1:43" ht="21.75" customHeight="1" x14ac:dyDescent="0.3"/>
    <row r="136" spans="1:43" ht="21.75" customHeight="1" x14ac:dyDescent="0.3"/>
    <row r="137" spans="1:43" ht="13.5" customHeight="1" x14ac:dyDescent="0.3"/>
    <row r="138" spans="1:43" ht="31.5" customHeight="1" x14ac:dyDescent="0.3"/>
    <row r="139" spans="1:43" ht="21.75" customHeight="1" x14ac:dyDescent="0.3"/>
    <row r="140" spans="1:43" ht="21.75" customHeight="1" x14ac:dyDescent="0.3"/>
    <row r="141" spans="1:43" ht="21.75" customHeight="1" x14ac:dyDescent="0.3"/>
    <row r="142" spans="1:43" ht="21.75" customHeight="1" x14ac:dyDescent="0.3"/>
    <row r="143" spans="1:43" ht="21.75" customHeight="1" x14ac:dyDescent="0.3"/>
    <row r="144" spans="1:43" ht="21.75" customHeight="1" x14ac:dyDescent="0.3"/>
    <row r="145" ht="21.75" customHeight="1" x14ac:dyDescent="0.3"/>
    <row r="146" ht="21.75" customHeight="1" x14ac:dyDescent="0.3"/>
    <row r="147" ht="21.75" customHeight="1" x14ac:dyDescent="0.3"/>
    <row r="148" ht="21.75" customHeight="1" x14ac:dyDescent="0.3"/>
    <row r="149" ht="10.5" customHeight="1" x14ac:dyDescent="0.3"/>
    <row r="150" ht="26.25" customHeight="1" x14ac:dyDescent="0.3"/>
    <row r="151" ht="12.75" customHeight="1" x14ac:dyDescent="0.3"/>
    <row r="156" ht="15" customHeight="1" x14ac:dyDescent="0.3"/>
    <row r="157" ht="33.75" customHeight="1" x14ac:dyDescent="0.3"/>
    <row r="158" ht="33.75" customHeight="1" x14ac:dyDescent="0.3"/>
    <row r="159" ht="33.75" customHeight="1" x14ac:dyDescent="0.3"/>
    <row r="160" ht="33.75" customHeight="1" x14ac:dyDescent="0.3"/>
    <row r="161" ht="33.75" customHeight="1" x14ac:dyDescent="0.3"/>
    <row r="162" ht="33.75" customHeight="1" x14ac:dyDescent="0.3"/>
    <row r="163" ht="33.75" customHeight="1" x14ac:dyDescent="0.3"/>
    <row r="164" ht="33.75" customHeight="1" x14ac:dyDescent="0.3"/>
    <row r="165" ht="33.75" customHeight="1" x14ac:dyDescent="0.3"/>
    <row r="166" ht="16.5" customHeight="1" x14ac:dyDescent="0.3"/>
    <row r="167" ht="21"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9.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75" customHeight="1" x14ac:dyDescent="0.3"/>
    <row r="191" ht="39.75" customHeight="1" x14ac:dyDescent="0.3"/>
    <row r="193" ht="62.25" customHeight="1" x14ac:dyDescent="0.3"/>
    <row r="198" ht="15" customHeight="1" x14ac:dyDescent="0.3"/>
    <row r="201" ht="30" customHeight="1" x14ac:dyDescent="0.3"/>
    <row r="202" ht="15" customHeight="1" x14ac:dyDescent="0.3"/>
    <row r="203" ht="15" customHeight="1" x14ac:dyDescent="0.3"/>
    <row r="205" ht="60.75" customHeight="1" x14ac:dyDescent="0.3"/>
  </sheetData>
  <mergeCells count="92">
    <mergeCell ref="C133:O133"/>
    <mergeCell ref="U72:AE72"/>
    <mergeCell ref="AC76:AC77"/>
    <mergeCell ref="H43:J43"/>
    <mergeCell ref="C43:G43"/>
    <mergeCell ref="K43:O43"/>
    <mergeCell ref="U85:V85"/>
    <mergeCell ref="U86:V86"/>
    <mergeCell ref="U87:V87"/>
    <mergeCell ref="U82:AB82"/>
    <mergeCell ref="AD76:AD77"/>
    <mergeCell ref="U84:V84"/>
    <mergeCell ref="Z76:Z77"/>
    <mergeCell ref="AA76:AA77"/>
    <mergeCell ref="AB76:AB77"/>
    <mergeCell ref="M132:P132"/>
    <mergeCell ref="E132:L132"/>
    <mergeCell ref="U76:U77"/>
    <mergeCell ref="V76:V77"/>
    <mergeCell ref="W76:W77"/>
    <mergeCell ref="X76:X77"/>
    <mergeCell ref="C89:E92"/>
    <mergeCell ref="F83:H84"/>
    <mergeCell ref="F85:H86"/>
    <mergeCell ref="F89:H90"/>
    <mergeCell ref="F91:H92"/>
    <mergeCell ref="C85:E88"/>
    <mergeCell ref="C78:H81"/>
    <mergeCell ref="C96:H96"/>
    <mergeCell ref="J96:O96"/>
    <mergeCell ref="D124:G124"/>
    <mergeCell ref="K124:N124"/>
    <mergeCell ref="Y76:Y77"/>
    <mergeCell ref="C2:O2"/>
    <mergeCell ref="S2:T2"/>
    <mergeCell ref="C22:O22"/>
    <mergeCell ref="C41:O41"/>
    <mergeCell ref="C68:O68"/>
    <mergeCell ref="C72:D73"/>
    <mergeCell ref="J70:O70"/>
    <mergeCell ref="C74:H77"/>
    <mergeCell ref="C46:O46"/>
    <mergeCell ref="U2:Z2"/>
    <mergeCell ref="C18:O18"/>
    <mergeCell ref="C70:H70"/>
    <mergeCell ref="U22:AF22"/>
    <mergeCell ref="C5:O5"/>
    <mergeCell ref="U29:AA29"/>
    <mergeCell ref="Y35:Z37"/>
    <mergeCell ref="C20:O20"/>
    <mergeCell ref="F10:H10"/>
    <mergeCell ref="F8:H8"/>
    <mergeCell ref="C8:E8"/>
    <mergeCell ref="C10:E10"/>
    <mergeCell ref="F12:H12"/>
    <mergeCell ref="M14:O14"/>
    <mergeCell ref="C9:E9"/>
    <mergeCell ref="J9:L9"/>
    <mergeCell ref="F9:H9"/>
    <mergeCell ref="C7:H7"/>
    <mergeCell ref="J7:O7"/>
    <mergeCell ref="C12:E12"/>
    <mergeCell ref="C14:E14"/>
    <mergeCell ref="J10:L10"/>
    <mergeCell ref="M10:O10"/>
    <mergeCell ref="M8:O8"/>
    <mergeCell ref="J8:L8"/>
    <mergeCell ref="F14:H14"/>
    <mergeCell ref="J12:L12"/>
    <mergeCell ref="J14:L14"/>
    <mergeCell ref="M12:O12"/>
    <mergeCell ref="V39:W39"/>
    <mergeCell ref="C121:H121"/>
    <mergeCell ref="J121:O121"/>
    <mergeCell ref="D105:G106"/>
    <mergeCell ref="K105:N106"/>
    <mergeCell ref="AE76:AE77"/>
    <mergeCell ref="AS28:AT30"/>
    <mergeCell ref="C44:O44"/>
    <mergeCell ref="M9:O9"/>
    <mergeCell ref="C13:E13"/>
    <mergeCell ref="F13:H13"/>
    <mergeCell ref="J13:L13"/>
    <mergeCell ref="M13:O13"/>
    <mergeCell ref="C40:G40"/>
    <mergeCell ref="H40:L40"/>
    <mergeCell ref="C24:O24"/>
    <mergeCell ref="L29:O30"/>
    <mergeCell ref="L25:M27"/>
    <mergeCell ref="N25:O27"/>
    <mergeCell ref="U35:W35"/>
    <mergeCell ref="V38:W38"/>
  </mergeCells>
  <dataValidations disablePrompts="1" count="1">
    <dataValidation type="list" allowBlank="1" showInputMessage="1" showErrorMessage="1" sqref="T4" xr:uid="{00000000-0002-0000-0700-000000000000}">
      <formula1>Goal_Year</formula1>
    </dataValidation>
  </dataValidations>
  <printOptions horizontalCentered="1" verticalCentered="1"/>
  <pageMargins left="0" right="0" top="0" bottom="0" header="0" footer="0"/>
  <pageSetup scale="58" fitToHeight="0" orientation="portrait" r:id="rId1"/>
  <rowBreaks count="1" manualBreakCount="1">
    <brk id="66" min="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62C77-0891-4844-A361-068A606748DD}">
  <sheetPr codeName="Sheet23">
    <tabColor theme="5"/>
    <pageSetUpPr autoPageBreaks="0"/>
  </sheetPr>
  <dimension ref="A1:AI223"/>
  <sheetViews>
    <sheetView showGridLines="0" zoomScale="70" zoomScaleNormal="70" workbookViewId="0">
      <selection activeCell="AK9" sqref="AK9"/>
    </sheetView>
  </sheetViews>
  <sheetFormatPr defaultColWidth="9.109375" defaultRowHeight="14.4" x14ac:dyDescent="0.3"/>
  <cols>
    <col min="1" max="1" width="2.33203125" style="9" customWidth="1"/>
    <col min="2" max="2" width="18.33203125" style="44" customWidth="1"/>
    <col min="3" max="11" width="10.109375" style="9" customWidth="1"/>
    <col min="12" max="22" width="12.6640625" style="9" customWidth="1"/>
    <col min="23" max="23" width="9.6640625" style="9" hidden="1" customWidth="1"/>
    <col min="24" max="24" width="89.6640625" style="13" hidden="1" customWidth="1"/>
    <col min="25" max="25" width="129.6640625" style="13" hidden="1" customWidth="1"/>
    <col min="26" max="26" width="7.6640625" style="9" hidden="1" customWidth="1"/>
    <col min="27" max="27" width="19.109375" style="9" hidden="1" customWidth="1"/>
    <col min="28" max="28" width="23.5546875" style="9" hidden="1" customWidth="1"/>
    <col min="29" max="33" width="9.109375" style="9" hidden="1" customWidth="1"/>
    <col min="34" max="36" width="0" style="9" hidden="1" customWidth="1"/>
    <col min="37" max="16384" width="9.109375" style="9"/>
  </cols>
  <sheetData>
    <row r="1" spans="1:35" ht="13.5" customHeight="1" x14ac:dyDescent="0.3">
      <c r="A1" s="321"/>
      <c r="B1" s="321"/>
      <c r="C1" s="321"/>
      <c r="D1" s="321"/>
      <c r="E1" s="321"/>
      <c r="F1" s="321"/>
      <c r="G1" s="321"/>
      <c r="H1" s="321"/>
      <c r="I1" s="321"/>
      <c r="J1" s="321"/>
      <c r="K1" s="321"/>
      <c r="L1" s="321"/>
      <c r="M1" s="321"/>
      <c r="N1" s="321"/>
      <c r="O1" s="321"/>
      <c r="P1" s="321"/>
      <c r="Q1" s="321"/>
      <c r="R1" s="321"/>
      <c r="S1" s="321"/>
      <c r="T1" s="321"/>
      <c r="U1" s="321"/>
      <c r="V1" s="321"/>
    </row>
    <row r="2" spans="1:35" ht="33" customHeight="1" x14ac:dyDescent="0.3">
      <c r="A2" s="321"/>
      <c r="B2" s="551" t="str">
        <f>IF(Language="English", $X2, $Y2)</f>
        <v>Compare Median Results against the 95% Uncertainty Interval</v>
      </c>
      <c r="C2" s="552"/>
      <c r="D2" s="552"/>
      <c r="E2" s="552"/>
      <c r="F2" s="552"/>
      <c r="G2" s="552"/>
      <c r="H2" s="552"/>
      <c r="I2" s="552"/>
      <c r="J2" s="552"/>
      <c r="K2" s="552"/>
      <c r="L2" s="552"/>
      <c r="M2" s="552"/>
      <c r="N2" s="552"/>
      <c r="O2" s="552"/>
      <c r="P2" s="552"/>
      <c r="Q2" s="552"/>
      <c r="R2" s="552"/>
      <c r="S2" s="552"/>
      <c r="T2" s="552"/>
      <c r="U2" s="552"/>
      <c r="V2" s="552"/>
      <c r="X2" s="228" t="s">
        <v>1061</v>
      </c>
      <c r="Y2" s="228" t="s">
        <v>1192</v>
      </c>
    </row>
    <row r="3" spans="1:35" ht="29.25" customHeight="1" x14ac:dyDescent="0.3">
      <c r="B3" s="555" t="str">
        <f>IF(Language="English", $X3, $Y3)</f>
        <v xml:space="preserve">This space is designed to compare the median results from FPET against the 95% uncertainty interval. </v>
      </c>
      <c r="C3" s="49"/>
      <c r="D3" s="49"/>
      <c r="E3" s="49"/>
      <c r="F3" s="49"/>
      <c r="G3" s="49"/>
      <c r="H3" s="49"/>
      <c r="I3" s="49"/>
      <c r="J3" s="49"/>
      <c r="K3" s="49"/>
      <c r="L3" s="49"/>
      <c r="M3" s="49"/>
      <c r="N3" s="49"/>
      <c r="O3" s="49"/>
      <c r="P3" s="49"/>
      <c r="Q3" s="49"/>
      <c r="R3" s="49"/>
      <c r="S3" s="49"/>
      <c r="T3" s="49"/>
      <c r="U3" s="49"/>
      <c r="V3" s="49"/>
      <c r="X3" s="228" t="s">
        <v>1062</v>
      </c>
      <c r="Y3" s="228" t="s">
        <v>1191</v>
      </c>
    </row>
    <row r="4" spans="1:35" ht="40.200000000000003" customHeight="1" x14ac:dyDescent="0.3">
      <c r="B4" s="1105" t="str">
        <f>IF(Language="English", $X4, $Y4)</f>
        <v xml:space="preserve">Select the population to review (all women, married women, or unmarried women). </v>
      </c>
      <c r="C4" s="1105"/>
      <c r="D4" s="1105"/>
      <c r="E4" s="1105"/>
      <c r="F4" s="1105"/>
      <c r="G4" s="1106"/>
      <c r="H4" s="1107" t="s">
        <v>147</v>
      </c>
      <c r="I4" s="1108"/>
      <c r="J4" s="1108"/>
      <c r="K4" s="1108"/>
      <c r="L4" s="1109"/>
      <c r="M4" s="49"/>
      <c r="N4" s="49"/>
      <c r="O4" s="49"/>
      <c r="P4" s="49"/>
      <c r="Q4" s="49"/>
      <c r="R4" s="49"/>
      <c r="S4" s="49"/>
      <c r="T4" s="49"/>
      <c r="U4" s="49"/>
      <c r="V4" s="49"/>
      <c r="W4" s="9" t="e">
        <f>VLOOKUP($H$4, $AC$7:$AD$9, 2, FALSE)</f>
        <v>#N/A</v>
      </c>
      <c r="X4" s="228" t="s">
        <v>1063</v>
      </c>
      <c r="Y4" s="228" t="s">
        <v>1190</v>
      </c>
    </row>
    <row r="5" spans="1:35" ht="29.25" customHeight="1" x14ac:dyDescent="0.3">
      <c r="B5" s="555"/>
      <c r="C5" s="49"/>
      <c r="D5" s="49"/>
      <c r="E5" s="49"/>
      <c r="F5" s="49"/>
      <c r="G5" s="49"/>
      <c r="H5" s="49"/>
      <c r="I5" s="49"/>
      <c r="J5" s="49"/>
      <c r="K5" s="49"/>
      <c r="L5" s="49"/>
      <c r="M5" s="49"/>
      <c r="N5" s="49"/>
      <c r="O5" s="49"/>
      <c r="P5" s="49"/>
      <c r="Q5" s="49"/>
      <c r="R5" s="49"/>
      <c r="S5" s="49"/>
      <c r="T5" s="49"/>
      <c r="U5" s="49"/>
      <c r="V5" s="49"/>
      <c r="X5" s="228"/>
      <c r="Y5" s="228"/>
    </row>
    <row r="6" spans="1:35" ht="28.5" customHeight="1" thickBot="1" x14ac:dyDescent="0.35">
      <c r="B6" s="553" t="str">
        <f>IF(Language=English, X6, Y6)</f>
        <v>Comparing Modern Contraceptive Prevalence (mCPR)</v>
      </c>
      <c r="C6" s="554"/>
      <c r="D6" s="554"/>
      <c r="E6" s="554"/>
      <c r="F6" s="554"/>
      <c r="G6" s="554"/>
      <c r="H6" s="554"/>
      <c r="I6" s="554"/>
      <c r="J6" s="554"/>
      <c r="K6" s="554"/>
      <c r="L6" s="554"/>
      <c r="M6" s="554"/>
      <c r="N6" s="554"/>
      <c r="O6" s="554"/>
      <c r="P6" s="554"/>
      <c r="Q6" s="554"/>
      <c r="R6" s="554"/>
      <c r="S6" s="554"/>
      <c r="T6" s="554"/>
      <c r="U6" s="554"/>
      <c r="V6" s="708"/>
      <c r="W6" s="9" t="s">
        <v>1014</v>
      </c>
      <c r="X6" s="210" t="s">
        <v>1189</v>
      </c>
      <c r="Y6" s="211" t="s">
        <v>1055</v>
      </c>
    </row>
    <row r="7" spans="1:35" ht="24" customHeight="1" x14ac:dyDescent="0.3">
      <c r="B7" s="601">
        <f>IF(Language="english", $X7, $Y7)</f>
        <v>0</v>
      </c>
      <c r="D7" s="87"/>
      <c r="F7" s="80"/>
      <c r="G7" s="16"/>
      <c r="X7" s="88"/>
      <c r="Y7" s="91"/>
      <c r="AA7" s="9" t="s">
        <v>98</v>
      </c>
      <c r="AB7" s="9" t="s">
        <v>147</v>
      </c>
      <c r="AC7" s="9" t="str">
        <f>IF(Language="English", AA7, AB7)</f>
        <v>All women</v>
      </c>
      <c r="AD7" s="9" t="s">
        <v>505</v>
      </c>
      <c r="AG7" s="9" t="s">
        <v>661</v>
      </c>
      <c r="AH7" s="9" t="s">
        <v>660</v>
      </c>
      <c r="AI7" s="9" t="str">
        <f>IF(Language="English", AG7, AH7)</f>
        <v>All Methods</v>
      </c>
    </row>
    <row r="8" spans="1:35" ht="32.25" customHeight="1" x14ac:dyDescent="0.3">
      <c r="C8" s="550">
        <v>2012</v>
      </c>
      <c r="D8" s="550">
        <v>2013</v>
      </c>
      <c r="E8" s="550">
        <v>2014</v>
      </c>
      <c r="F8" s="550">
        <v>2015</v>
      </c>
      <c r="G8" s="550">
        <v>2016</v>
      </c>
      <c r="H8" s="550">
        <v>2017</v>
      </c>
      <c r="I8" s="550">
        <v>2018</v>
      </c>
      <c r="J8" s="550">
        <v>2019</v>
      </c>
      <c r="K8" s="550">
        <v>2020</v>
      </c>
      <c r="L8" s="550">
        <v>2021</v>
      </c>
      <c r="M8" s="550">
        <v>2022</v>
      </c>
      <c r="N8" s="550">
        <v>2023</v>
      </c>
      <c r="O8" s="550">
        <v>2024</v>
      </c>
      <c r="P8" s="550">
        <v>2025</v>
      </c>
      <c r="Q8" s="550">
        <v>2026</v>
      </c>
      <c r="R8" s="550">
        <v>2027</v>
      </c>
      <c r="S8" s="550">
        <v>2028</v>
      </c>
      <c r="T8" s="550">
        <v>2029</v>
      </c>
      <c r="U8" s="550">
        <v>2030</v>
      </c>
      <c r="AA8" s="9" t="s">
        <v>123</v>
      </c>
      <c r="AB8" s="9" t="s">
        <v>146</v>
      </c>
      <c r="AC8" s="9" t="str">
        <f>IF(Language="English", AA8, AB8)</f>
        <v>Married women</v>
      </c>
      <c r="AD8" s="9" t="s">
        <v>511</v>
      </c>
      <c r="AG8" s="9" t="s">
        <v>584</v>
      </c>
      <c r="AH8" s="27" t="s">
        <v>145</v>
      </c>
      <c r="AI8" s="9" t="str">
        <f>IF(Language="English", AG8, AH8)</f>
        <v>Modern Methods</v>
      </c>
    </row>
    <row r="9" spans="1:35" ht="39.6" customHeight="1" x14ac:dyDescent="0.3">
      <c r="B9" s="549" t="str">
        <f>IF(Language=English, X9, Y9)</f>
        <v>Lower Bound (2.5%)</v>
      </c>
      <c r="C9" s="548" t="e">
        <f>VLOOKUP($W$6&amp;$W$4&amp;$W9, 'Review FPET Inputs'!$H$37:$AB$87, MATCH('Reviewing Confidence Interval'!C$8, 'Review FPET Inputs'!$H$37:$AA$37, 0), FALSE)</f>
        <v>#N/A</v>
      </c>
      <c r="D9" s="548" t="e">
        <f>VLOOKUP($W$6&amp;$W$4&amp;$W9, 'Review FPET Inputs'!$H$37:$AB$87, MATCH('Reviewing Confidence Interval'!D$8, 'Review FPET Inputs'!$H$37:$AA$37, 0), FALSE)</f>
        <v>#N/A</v>
      </c>
      <c r="E9" s="548" t="e">
        <f>VLOOKUP($W$6&amp;$W$4&amp;$W9, 'Review FPET Inputs'!$H$37:$AB$87, MATCH('Reviewing Confidence Interval'!E$8, 'Review FPET Inputs'!$H$37:$AA$37, 0), FALSE)</f>
        <v>#N/A</v>
      </c>
      <c r="F9" s="548" t="e">
        <f>VLOOKUP($W$6&amp;$W$4&amp;$W9, 'Review FPET Inputs'!$H$37:$AB$87, MATCH('Reviewing Confidence Interval'!F$8, 'Review FPET Inputs'!$H$37:$AA$37, 0), FALSE)</f>
        <v>#N/A</v>
      </c>
      <c r="G9" s="548" t="e">
        <f>VLOOKUP($W$6&amp;$W$4&amp;$W9, 'Review FPET Inputs'!$H$37:$AB$87, MATCH('Reviewing Confidence Interval'!G$8, 'Review FPET Inputs'!$H$37:$AA$37, 0), FALSE)</f>
        <v>#N/A</v>
      </c>
      <c r="H9" s="548" t="e">
        <f>VLOOKUP($W$6&amp;$W$4&amp;$W9, 'Review FPET Inputs'!$H$37:$AB$87, MATCH('Reviewing Confidence Interval'!H$8, 'Review FPET Inputs'!$H$37:$AA$37, 0), FALSE)</f>
        <v>#N/A</v>
      </c>
      <c r="I9" s="548" t="e">
        <f>VLOOKUP($W$6&amp;$W$4&amp;$W9, 'Review FPET Inputs'!$H$37:$AB$87, MATCH('Reviewing Confidence Interval'!I$8, 'Review FPET Inputs'!$H$37:$AA$37, 0), FALSE)</f>
        <v>#N/A</v>
      </c>
      <c r="J9" s="548" t="e">
        <f>VLOOKUP($W$6&amp;$W$4&amp;$W9, 'Review FPET Inputs'!$H$37:$AB$87, MATCH('Reviewing Confidence Interval'!J$8, 'Review FPET Inputs'!$H$37:$AA$37, 0), FALSE)</f>
        <v>#N/A</v>
      </c>
      <c r="K9" s="548" t="e">
        <f>VLOOKUP($W$6&amp;$W$4&amp;$W9, 'Review FPET Inputs'!$H$37:$AB$87, MATCH('Reviewing Confidence Interval'!K$8, 'Review FPET Inputs'!$H$37:$AA$37, 0), FALSE)</f>
        <v>#N/A</v>
      </c>
      <c r="L9" s="548" t="e">
        <f>VLOOKUP($W$6&amp;$W$4&amp;$W9, 'Review FPET Inputs'!$H$37:$AB$87, MATCH('Reviewing Confidence Interval'!L$8, 'Review FPET Inputs'!$H$37:$AA$37, 0), FALSE)</f>
        <v>#N/A</v>
      </c>
      <c r="M9" s="548" t="e">
        <f>VLOOKUP($W$6&amp;$W$4&amp;$W9, 'Review FPET Inputs'!$H$37:$AB$87, MATCH('Reviewing Confidence Interval'!M$8, 'Review FPET Inputs'!$H$37:$AA$37, 0), FALSE)</f>
        <v>#N/A</v>
      </c>
      <c r="N9" s="548" t="e">
        <f>VLOOKUP($W$6&amp;$W$4&amp;$W9, 'Review FPET Inputs'!$H$37:$AB$87, MATCH('Reviewing Confidence Interval'!N$8, 'Review FPET Inputs'!$H$37:$AA$37, 0), FALSE)</f>
        <v>#N/A</v>
      </c>
      <c r="O9" s="548" t="e">
        <f>VLOOKUP($W$6&amp;$W$4&amp;$W9, 'Review FPET Inputs'!$H$37:$AB$87, MATCH('Reviewing Confidence Interval'!O$8, 'Review FPET Inputs'!$H$37:$AA$37, 0), FALSE)</f>
        <v>#N/A</v>
      </c>
      <c r="P9" s="548" t="e">
        <f>VLOOKUP($W$6&amp;$W$4&amp;$W9, 'Review FPET Inputs'!$H$37:$AB$87, MATCH('Reviewing Confidence Interval'!P$8, 'Review FPET Inputs'!$H$37:$AA$37, 0), FALSE)</f>
        <v>#N/A</v>
      </c>
      <c r="Q9" s="548" t="e">
        <f>VLOOKUP($W$6&amp;$W$4&amp;$W9, 'Review FPET Inputs'!$H$37:$AB$87, MATCH('Reviewing Confidence Interval'!Q$8, 'Review FPET Inputs'!$H$37:$AA$37, 0), FALSE)</f>
        <v>#N/A</v>
      </c>
      <c r="R9" s="548" t="e">
        <f>VLOOKUP($W$6&amp;$W$4&amp;$W9, 'Review FPET Inputs'!$H$37:$AB$87, MATCH('Reviewing Confidence Interval'!R$8, 'Review FPET Inputs'!$H$37:$AA$37, 0), FALSE)</f>
        <v>#N/A</v>
      </c>
      <c r="S9" s="548" t="e">
        <f>VLOOKUP($W$6&amp;$W$4&amp;$W9, 'Review FPET Inputs'!$H$37:$AB$87, MATCH('Reviewing Confidence Interval'!S$8, 'Review FPET Inputs'!$H$37:$AA$37, 0), FALSE)</f>
        <v>#N/A</v>
      </c>
      <c r="T9" s="548" t="e">
        <f>VLOOKUP($W$6&amp;$W$4&amp;$W9, 'Review FPET Inputs'!$H$37:$AB$87, MATCH('Reviewing Confidence Interval'!T$8, 'Review FPET Inputs'!$H$37:$AA$37, 0), FALSE)</f>
        <v>#N/A</v>
      </c>
      <c r="U9" s="548" t="e">
        <f>VLOOKUP($W$6&amp;$W$4&amp;$W9, 'Review FPET Inputs'!$H$37:$AB$87, MATCH('Reviewing Confidence Interval'!U$8, 'Review FPET Inputs'!$H$37:$AA$37, 0), FALSE)</f>
        <v>#N/A</v>
      </c>
      <c r="W9" s="9">
        <v>2.5</v>
      </c>
      <c r="X9" s="93" t="s">
        <v>1181</v>
      </c>
      <c r="Y9" s="716" t="s">
        <v>1184</v>
      </c>
      <c r="AA9" s="9" t="s">
        <v>1059</v>
      </c>
      <c r="AB9" s="706" t="s">
        <v>1060</v>
      </c>
      <c r="AC9" s="706" t="str">
        <f>IF(Language="English", AA9, AB9)</f>
        <v>Unmarried women</v>
      </c>
      <c r="AD9" s="9" t="s">
        <v>1018</v>
      </c>
      <c r="AE9" s="27"/>
    </row>
    <row r="10" spans="1:35" ht="39.6" customHeight="1" x14ac:dyDescent="0.3">
      <c r="B10" s="549" t="str">
        <f>IF(Language=English, X10, Y10)</f>
        <v>Median Estimate (50%)</v>
      </c>
      <c r="C10" s="548" t="e">
        <f>VLOOKUP($W$6&amp;$W$4&amp;$W10, 'Review FPET Inputs'!$H$37:$AB$87, MATCH('Reviewing Confidence Interval'!C$8, 'Review FPET Inputs'!$H$37:$AA$37, 0), FALSE)</f>
        <v>#N/A</v>
      </c>
      <c r="D10" s="548" t="e">
        <f>VLOOKUP($W$6&amp;$W$4&amp;$W10, 'Review FPET Inputs'!$H$37:$AB$87, MATCH('Reviewing Confidence Interval'!D$8, 'Review FPET Inputs'!$H$37:$AA$37, 0), FALSE)</f>
        <v>#N/A</v>
      </c>
      <c r="E10" s="548" t="e">
        <f>VLOOKUP($W$6&amp;$W$4&amp;$W10, 'Review FPET Inputs'!$H$37:$AB$87, MATCH('Reviewing Confidence Interval'!E$8, 'Review FPET Inputs'!$H$37:$AA$37, 0), FALSE)</f>
        <v>#N/A</v>
      </c>
      <c r="F10" s="548" t="e">
        <f>VLOOKUP($W$6&amp;$W$4&amp;$W10, 'Review FPET Inputs'!$H$37:$AB$87, MATCH('Reviewing Confidence Interval'!F$8, 'Review FPET Inputs'!$H$37:$AA$37, 0), FALSE)</f>
        <v>#N/A</v>
      </c>
      <c r="G10" s="548" t="e">
        <f>VLOOKUP($W$6&amp;$W$4&amp;$W10, 'Review FPET Inputs'!$H$37:$AB$87, MATCH('Reviewing Confidence Interval'!G$8, 'Review FPET Inputs'!$H$37:$AA$37, 0), FALSE)</f>
        <v>#N/A</v>
      </c>
      <c r="H10" s="548" t="e">
        <f>VLOOKUP($W$6&amp;$W$4&amp;$W10, 'Review FPET Inputs'!$H$37:$AB$87, MATCH('Reviewing Confidence Interval'!H$8, 'Review FPET Inputs'!$H$37:$AA$37, 0), FALSE)</f>
        <v>#N/A</v>
      </c>
      <c r="I10" s="548" t="e">
        <f>VLOOKUP($W$6&amp;$W$4&amp;$W10, 'Review FPET Inputs'!$H$37:$AB$87, MATCH('Reviewing Confidence Interval'!I$8, 'Review FPET Inputs'!$H$37:$AA$37, 0), FALSE)</f>
        <v>#N/A</v>
      </c>
      <c r="J10" s="548" t="e">
        <f>VLOOKUP($W$6&amp;$W$4&amp;$W10, 'Review FPET Inputs'!$H$37:$AB$87, MATCH('Reviewing Confidence Interval'!J$8, 'Review FPET Inputs'!$H$37:$AA$37, 0), FALSE)</f>
        <v>#N/A</v>
      </c>
      <c r="K10" s="548" t="e">
        <f>VLOOKUP($W$6&amp;$W$4&amp;$W10, 'Review FPET Inputs'!$H$37:$AB$87, MATCH('Reviewing Confidence Interval'!K$8, 'Review FPET Inputs'!$H$37:$AA$37, 0), FALSE)</f>
        <v>#N/A</v>
      </c>
      <c r="L10" s="548" t="e">
        <f>VLOOKUP($W$6&amp;$W$4&amp;$W10, 'Review FPET Inputs'!$H$37:$AB$87, MATCH('Reviewing Confidence Interval'!L$8, 'Review FPET Inputs'!$H$37:$AA$37, 0), FALSE)</f>
        <v>#N/A</v>
      </c>
      <c r="M10" s="548" t="e">
        <f>VLOOKUP($W$6&amp;$W$4&amp;$W10, 'Review FPET Inputs'!$H$37:$AB$87, MATCH('Reviewing Confidence Interval'!M$8, 'Review FPET Inputs'!$H$37:$AA$37, 0), FALSE)</f>
        <v>#N/A</v>
      </c>
      <c r="N10" s="548" t="e">
        <f>VLOOKUP($W$6&amp;$W$4&amp;$W10, 'Review FPET Inputs'!$H$37:$AB$87, MATCH('Reviewing Confidence Interval'!N$8, 'Review FPET Inputs'!$H$37:$AA$37, 0), FALSE)</f>
        <v>#N/A</v>
      </c>
      <c r="O10" s="548" t="e">
        <f>VLOOKUP($W$6&amp;$W$4&amp;$W10, 'Review FPET Inputs'!$H$37:$AB$87, MATCH('Reviewing Confidence Interval'!O$8, 'Review FPET Inputs'!$H$37:$AA$37, 0), FALSE)</f>
        <v>#N/A</v>
      </c>
      <c r="P10" s="548" t="e">
        <f>VLOOKUP($W$6&amp;$W$4&amp;$W10, 'Review FPET Inputs'!$H$37:$AB$87, MATCH('Reviewing Confidence Interval'!P$8, 'Review FPET Inputs'!$H$37:$AA$37, 0), FALSE)</f>
        <v>#N/A</v>
      </c>
      <c r="Q10" s="548" t="e">
        <f>VLOOKUP($W$6&amp;$W$4&amp;$W10, 'Review FPET Inputs'!$H$37:$AB$87, MATCH('Reviewing Confidence Interval'!Q$8, 'Review FPET Inputs'!$H$37:$AA$37, 0), FALSE)</f>
        <v>#N/A</v>
      </c>
      <c r="R10" s="548" t="e">
        <f>VLOOKUP($W$6&amp;$W$4&amp;$W10, 'Review FPET Inputs'!$H$37:$AB$87, MATCH('Reviewing Confidence Interval'!R$8, 'Review FPET Inputs'!$H$37:$AA$37, 0), FALSE)</f>
        <v>#N/A</v>
      </c>
      <c r="S10" s="548" t="e">
        <f>VLOOKUP($W$6&amp;$W$4&amp;$W10, 'Review FPET Inputs'!$H$37:$AB$87, MATCH('Reviewing Confidence Interval'!S$8, 'Review FPET Inputs'!$H$37:$AA$37, 0), FALSE)</f>
        <v>#N/A</v>
      </c>
      <c r="T10" s="548" t="e">
        <f>VLOOKUP($W$6&amp;$W$4&amp;$W10, 'Review FPET Inputs'!$H$37:$AB$87, MATCH('Reviewing Confidence Interval'!T$8, 'Review FPET Inputs'!$H$37:$AA$37, 0), FALSE)</f>
        <v>#N/A</v>
      </c>
      <c r="U10" s="548" t="e">
        <f>VLOOKUP($W$6&amp;$W$4&amp;$W10, 'Review FPET Inputs'!$H$37:$AB$87, MATCH('Reviewing Confidence Interval'!U$8, 'Review FPET Inputs'!$H$37:$AA$37, 0), FALSE)</f>
        <v>#N/A</v>
      </c>
      <c r="W10" s="9">
        <v>50</v>
      </c>
      <c r="X10" s="93" t="s">
        <v>1183</v>
      </c>
      <c r="Y10" s="716" t="s">
        <v>1185</v>
      </c>
    </row>
    <row r="11" spans="1:35" ht="39.6" customHeight="1" x14ac:dyDescent="0.3">
      <c r="B11" s="549" t="str">
        <f>IF(Language=English, X11, Y11)</f>
        <v>Upper Bound (97.5%)</v>
      </c>
      <c r="C11" s="548" t="e">
        <f>VLOOKUP($W$6&amp;$W$4&amp;$W11, 'Review FPET Inputs'!$H$37:$AB$87, MATCH('Reviewing Confidence Interval'!C$8, 'Review FPET Inputs'!$H$37:$AA$37, 0), FALSE)</f>
        <v>#N/A</v>
      </c>
      <c r="D11" s="548" t="e">
        <f>VLOOKUP($W$6&amp;$W$4&amp;$W11, 'Review FPET Inputs'!$H$37:$AB$87, MATCH('Reviewing Confidence Interval'!D$8, 'Review FPET Inputs'!$H$37:$AA$37, 0), FALSE)</f>
        <v>#N/A</v>
      </c>
      <c r="E11" s="548" t="e">
        <f>VLOOKUP($W$6&amp;$W$4&amp;$W11, 'Review FPET Inputs'!$H$37:$AB$87, MATCH('Reviewing Confidence Interval'!E$8, 'Review FPET Inputs'!$H$37:$AA$37, 0), FALSE)</f>
        <v>#N/A</v>
      </c>
      <c r="F11" s="548" t="e">
        <f>VLOOKUP($W$6&amp;$W$4&amp;$W11, 'Review FPET Inputs'!$H$37:$AB$87, MATCH('Reviewing Confidence Interval'!F$8, 'Review FPET Inputs'!$H$37:$AA$37, 0), FALSE)</f>
        <v>#N/A</v>
      </c>
      <c r="G11" s="548" t="e">
        <f>VLOOKUP($W$6&amp;$W$4&amp;$W11, 'Review FPET Inputs'!$H$37:$AB$87, MATCH('Reviewing Confidence Interval'!G$8, 'Review FPET Inputs'!$H$37:$AA$37, 0), FALSE)</f>
        <v>#N/A</v>
      </c>
      <c r="H11" s="548" t="e">
        <f>VLOOKUP($W$6&amp;$W$4&amp;$W11, 'Review FPET Inputs'!$H$37:$AB$87, MATCH('Reviewing Confidence Interval'!H$8, 'Review FPET Inputs'!$H$37:$AA$37, 0), FALSE)</f>
        <v>#N/A</v>
      </c>
      <c r="I11" s="548" t="e">
        <f>VLOOKUP($W$6&amp;$W$4&amp;$W11, 'Review FPET Inputs'!$H$37:$AB$87, MATCH('Reviewing Confidence Interval'!I$8, 'Review FPET Inputs'!$H$37:$AA$37, 0), FALSE)</f>
        <v>#N/A</v>
      </c>
      <c r="J11" s="548" t="e">
        <f>VLOOKUP($W$6&amp;$W$4&amp;$W11, 'Review FPET Inputs'!$H$37:$AB$87, MATCH('Reviewing Confidence Interval'!J$8, 'Review FPET Inputs'!$H$37:$AA$37, 0), FALSE)</f>
        <v>#N/A</v>
      </c>
      <c r="K11" s="548" t="e">
        <f>VLOOKUP($W$6&amp;$W$4&amp;$W11, 'Review FPET Inputs'!$H$37:$AB$87, MATCH('Reviewing Confidence Interval'!K$8, 'Review FPET Inputs'!$H$37:$AA$37, 0), FALSE)</f>
        <v>#N/A</v>
      </c>
      <c r="L11" s="548" t="e">
        <f>VLOOKUP($W$6&amp;$W$4&amp;$W11, 'Review FPET Inputs'!$H$37:$AB$87, MATCH('Reviewing Confidence Interval'!L$8, 'Review FPET Inputs'!$H$37:$AA$37, 0), FALSE)</f>
        <v>#N/A</v>
      </c>
      <c r="M11" s="548" t="e">
        <f>VLOOKUP($W$6&amp;$W$4&amp;$W11, 'Review FPET Inputs'!$H$37:$AB$87, MATCH('Reviewing Confidence Interval'!M$8, 'Review FPET Inputs'!$H$37:$AA$37, 0), FALSE)</f>
        <v>#N/A</v>
      </c>
      <c r="N11" s="548" t="e">
        <f>VLOOKUP($W$6&amp;$W$4&amp;$W11, 'Review FPET Inputs'!$H$37:$AB$87, MATCH('Reviewing Confidence Interval'!N$8, 'Review FPET Inputs'!$H$37:$AA$37, 0), FALSE)</f>
        <v>#N/A</v>
      </c>
      <c r="O11" s="548" t="e">
        <f>VLOOKUP($W$6&amp;$W$4&amp;$W11, 'Review FPET Inputs'!$H$37:$AB$87, MATCH('Reviewing Confidence Interval'!O$8, 'Review FPET Inputs'!$H$37:$AA$37, 0), FALSE)</f>
        <v>#N/A</v>
      </c>
      <c r="P11" s="548" t="e">
        <f>VLOOKUP($W$6&amp;$W$4&amp;$W11, 'Review FPET Inputs'!$H$37:$AB$87, MATCH('Reviewing Confidence Interval'!P$8, 'Review FPET Inputs'!$H$37:$AA$37, 0), FALSE)</f>
        <v>#N/A</v>
      </c>
      <c r="Q11" s="548" t="e">
        <f>VLOOKUP($W$6&amp;$W$4&amp;$W11, 'Review FPET Inputs'!$H$37:$AB$87, MATCH('Reviewing Confidence Interval'!Q$8, 'Review FPET Inputs'!$H$37:$AA$37, 0), FALSE)</f>
        <v>#N/A</v>
      </c>
      <c r="R11" s="548" t="e">
        <f>VLOOKUP($W$6&amp;$W$4&amp;$W11, 'Review FPET Inputs'!$H$37:$AB$87, MATCH('Reviewing Confidence Interval'!R$8, 'Review FPET Inputs'!$H$37:$AA$37, 0), FALSE)</f>
        <v>#N/A</v>
      </c>
      <c r="S11" s="548" t="e">
        <f>VLOOKUP($W$6&amp;$W$4&amp;$W11, 'Review FPET Inputs'!$H$37:$AB$87, MATCH('Reviewing Confidence Interval'!S$8, 'Review FPET Inputs'!$H$37:$AA$37, 0), FALSE)</f>
        <v>#N/A</v>
      </c>
      <c r="T11" s="548" t="e">
        <f>VLOOKUP($W$6&amp;$W$4&amp;$W11, 'Review FPET Inputs'!$H$37:$AB$87, MATCH('Reviewing Confidence Interval'!T$8, 'Review FPET Inputs'!$H$37:$AA$37, 0), FALSE)</f>
        <v>#N/A</v>
      </c>
      <c r="U11" s="548" t="e">
        <f>VLOOKUP($W$6&amp;$W$4&amp;$W11, 'Review FPET Inputs'!$H$37:$AB$87, MATCH('Reviewing Confidence Interval'!U$8, 'Review FPET Inputs'!$H$37:$AA$37, 0), FALSE)</f>
        <v>#N/A</v>
      </c>
      <c r="W11" s="9">
        <v>97.5</v>
      </c>
      <c r="X11" s="13" t="s">
        <v>1182</v>
      </c>
      <c r="Y11" s="13" t="s">
        <v>1186</v>
      </c>
    </row>
    <row r="12" spans="1:35" s="706" customFormat="1" ht="7.2" customHeight="1" x14ac:dyDescent="0.3"/>
    <row r="13" spans="1:35" s="706" customFormat="1" ht="25.2" customHeight="1" x14ac:dyDescent="0.3">
      <c r="B13" s="718" t="s">
        <v>1058</v>
      </c>
      <c r="C13" s="719" t="e">
        <f t="shared" ref="C13:U13" si="0">C11-C9</f>
        <v>#N/A</v>
      </c>
      <c r="D13" s="719" t="e">
        <f t="shared" si="0"/>
        <v>#N/A</v>
      </c>
      <c r="E13" s="719" t="e">
        <f t="shared" si="0"/>
        <v>#N/A</v>
      </c>
      <c r="F13" s="719" t="e">
        <f t="shared" si="0"/>
        <v>#N/A</v>
      </c>
      <c r="G13" s="719" t="e">
        <f t="shared" si="0"/>
        <v>#N/A</v>
      </c>
      <c r="H13" s="719" t="e">
        <f t="shared" si="0"/>
        <v>#N/A</v>
      </c>
      <c r="I13" s="719" t="e">
        <f t="shared" si="0"/>
        <v>#N/A</v>
      </c>
      <c r="J13" s="719" t="e">
        <f t="shared" si="0"/>
        <v>#N/A</v>
      </c>
      <c r="K13" s="719" t="e">
        <f t="shared" si="0"/>
        <v>#N/A</v>
      </c>
      <c r="L13" s="719" t="e">
        <f t="shared" si="0"/>
        <v>#N/A</v>
      </c>
      <c r="M13" s="719" t="e">
        <f t="shared" si="0"/>
        <v>#N/A</v>
      </c>
      <c r="N13" s="719" t="e">
        <f t="shared" si="0"/>
        <v>#N/A</v>
      </c>
      <c r="O13" s="719" t="e">
        <f t="shared" si="0"/>
        <v>#N/A</v>
      </c>
      <c r="P13" s="719" t="e">
        <f t="shared" si="0"/>
        <v>#N/A</v>
      </c>
      <c r="Q13" s="719" t="e">
        <f t="shared" si="0"/>
        <v>#N/A</v>
      </c>
      <c r="R13" s="719" t="e">
        <f t="shared" si="0"/>
        <v>#N/A</v>
      </c>
      <c r="S13" s="719" t="e">
        <f t="shared" si="0"/>
        <v>#N/A</v>
      </c>
      <c r="T13" s="719" t="e">
        <f t="shared" si="0"/>
        <v>#N/A</v>
      </c>
      <c r="U13" s="719" t="e">
        <f t="shared" si="0"/>
        <v>#N/A</v>
      </c>
      <c r="X13" s="13"/>
      <c r="Y13" s="13"/>
    </row>
    <row r="14" spans="1:35" ht="67.95" customHeight="1" x14ac:dyDescent="0.3">
      <c r="B14"/>
      <c r="C14"/>
      <c r="D14"/>
      <c r="E14"/>
      <c r="F14"/>
      <c r="G14"/>
      <c r="H14"/>
      <c r="I14"/>
      <c r="J14"/>
      <c r="K14"/>
      <c r="L14"/>
      <c r="M14"/>
      <c r="N14"/>
      <c r="O14"/>
      <c r="P14"/>
      <c r="Q14"/>
      <c r="R14"/>
      <c r="S14"/>
      <c r="T14"/>
      <c r="U14"/>
      <c r="V14" s="183"/>
    </row>
    <row r="15" spans="1:35" ht="67.95" customHeight="1" x14ac:dyDescent="0.3">
      <c r="B15"/>
      <c r="C15"/>
      <c r="D15"/>
      <c r="E15"/>
      <c r="F15"/>
      <c r="G15"/>
      <c r="H15"/>
      <c r="I15"/>
      <c r="J15"/>
      <c r="K15"/>
      <c r="L15"/>
      <c r="M15"/>
      <c r="N15"/>
      <c r="O15"/>
      <c r="P15"/>
      <c r="Q15"/>
      <c r="R15"/>
      <c r="S15"/>
      <c r="T15"/>
      <c r="U15"/>
      <c r="Y15" s="237"/>
    </row>
    <row r="16" spans="1:35" ht="67.95" customHeight="1" x14ac:dyDescent="0.3">
      <c r="B16"/>
      <c r="C16"/>
      <c r="D16"/>
      <c r="E16"/>
      <c r="F16"/>
      <c r="G16"/>
      <c r="H16"/>
      <c r="I16"/>
      <c r="J16"/>
      <c r="K16"/>
      <c r="L16"/>
      <c r="M16"/>
      <c r="N16"/>
      <c r="O16"/>
      <c r="P16"/>
      <c r="Q16"/>
      <c r="R16"/>
      <c r="S16"/>
      <c r="T16"/>
      <c r="U16"/>
    </row>
    <row r="17" spans="2:32" ht="11.25" customHeight="1" x14ac:dyDescent="0.3">
      <c r="X17" s="229"/>
    </row>
    <row r="18" spans="2:32" customFormat="1" ht="32.25" customHeight="1" x14ac:dyDescent="0.3"/>
    <row r="19" spans="2:32" s="706" customFormat="1" ht="28.5" customHeight="1" thickBot="1" x14ac:dyDescent="0.35">
      <c r="B19" s="553" t="str">
        <f>IF(Language=English, X19, Y19)</f>
        <v>Comparing Unmet Need for a Modern Method (mUMN)</v>
      </c>
      <c r="C19" s="554"/>
      <c r="D19" s="554"/>
      <c r="E19" s="554"/>
      <c r="F19" s="554"/>
      <c r="G19" s="554"/>
      <c r="H19" s="554"/>
      <c r="I19" s="554"/>
      <c r="J19" s="554"/>
      <c r="K19" s="554"/>
      <c r="L19" s="554"/>
      <c r="M19" s="554"/>
      <c r="N19" s="554"/>
      <c r="O19" s="554"/>
      <c r="P19" s="554"/>
      <c r="Q19" s="554"/>
      <c r="R19" s="554"/>
      <c r="S19" s="554"/>
      <c r="T19" s="554"/>
      <c r="U19" s="554"/>
      <c r="V19" s="708"/>
      <c r="W19" s="706" t="s">
        <v>1017</v>
      </c>
      <c r="X19" s="210" t="s">
        <v>1188</v>
      </c>
      <c r="Y19" s="211" t="s">
        <v>1179</v>
      </c>
    </row>
    <row r="20" spans="2:32" s="706" customFormat="1" ht="24" customHeight="1" x14ac:dyDescent="0.3">
      <c r="B20" s="601">
        <f>IF(Language="english", $X20, $Y20)</f>
        <v>0</v>
      </c>
      <c r="D20" s="87"/>
      <c r="F20" s="80"/>
      <c r="G20" s="703"/>
      <c r="X20" s="88"/>
      <c r="Y20" s="91"/>
      <c r="AA20" s="706" t="s">
        <v>98</v>
      </c>
      <c r="AB20" s="706" t="s">
        <v>147</v>
      </c>
      <c r="AC20" s="706" t="str">
        <f>IF(Language="English", AA20, AB20)</f>
        <v>All women</v>
      </c>
      <c r="AD20" s="706" t="s">
        <v>661</v>
      </c>
      <c r="AE20" s="706" t="s">
        <v>660</v>
      </c>
      <c r="AF20" s="706" t="str">
        <f>IF(Language="English", AD20, AE20)</f>
        <v>All Methods</v>
      </c>
    </row>
    <row r="21" spans="2:32" s="706" customFormat="1" ht="32.25" customHeight="1" x14ac:dyDescent="0.3">
      <c r="B21" s="44"/>
      <c r="C21" s="550">
        <v>2012</v>
      </c>
      <c r="D21" s="550">
        <v>2013</v>
      </c>
      <c r="E21" s="550">
        <v>2014</v>
      </c>
      <c r="F21" s="550">
        <v>2015</v>
      </c>
      <c r="G21" s="550">
        <v>2016</v>
      </c>
      <c r="H21" s="550">
        <v>2017</v>
      </c>
      <c r="I21" s="550">
        <v>2018</v>
      </c>
      <c r="J21" s="550">
        <v>2019</v>
      </c>
      <c r="K21" s="550">
        <v>2020</v>
      </c>
      <c r="L21" s="550">
        <v>2021</v>
      </c>
      <c r="M21" s="550">
        <v>2022</v>
      </c>
      <c r="N21" s="550">
        <v>2023</v>
      </c>
      <c r="O21" s="550">
        <v>2024</v>
      </c>
      <c r="P21" s="550">
        <v>2025</v>
      </c>
      <c r="Q21" s="550">
        <v>2026</v>
      </c>
      <c r="R21" s="550">
        <v>2027</v>
      </c>
      <c r="S21" s="550">
        <v>2028</v>
      </c>
      <c r="T21" s="550">
        <v>2029</v>
      </c>
      <c r="U21" s="550">
        <v>2030</v>
      </c>
      <c r="X21" s="13"/>
      <c r="Y21" s="13"/>
      <c r="AA21" s="706" t="s">
        <v>123</v>
      </c>
      <c r="AB21" s="706" t="s">
        <v>146</v>
      </c>
      <c r="AC21" s="706" t="str">
        <f>IF(Language="English", AA21, AB21)</f>
        <v>Married women</v>
      </c>
      <c r="AD21" s="706" t="s">
        <v>584</v>
      </c>
      <c r="AE21" s="27" t="s">
        <v>145</v>
      </c>
      <c r="AF21" s="706" t="str">
        <f>IF(Language="English", AD21, AE21)</f>
        <v>Modern Methods</v>
      </c>
    </row>
    <row r="22" spans="2:32" s="706" customFormat="1" ht="39.6" customHeight="1" x14ac:dyDescent="0.3">
      <c r="B22" s="549" t="str">
        <f>IF(Language=English, X22, Y22)</f>
        <v>Lower Bound (2.5%)</v>
      </c>
      <c r="C22" s="548" t="e">
        <f>VLOOKUP($W$19&amp;$W$4&amp;$W22, 'Review FPET Inputs'!$H$37:$AB$87, MATCH('Reviewing Confidence Interval'!C$8, 'Review FPET Inputs'!$H$37:$AA$37, 0), FALSE)</f>
        <v>#N/A</v>
      </c>
      <c r="D22" s="548" t="e">
        <f>VLOOKUP($W$19&amp;$W$4&amp;$W22, 'Review FPET Inputs'!$H$37:$AB$87, MATCH('Reviewing Confidence Interval'!D$8, 'Review FPET Inputs'!$H$37:$AA$37, 0), FALSE)</f>
        <v>#N/A</v>
      </c>
      <c r="E22" s="548" t="e">
        <f>VLOOKUP($W$19&amp;$W$4&amp;$W22, 'Review FPET Inputs'!$H$37:$AB$87, MATCH('Reviewing Confidence Interval'!E$8, 'Review FPET Inputs'!$H$37:$AA$37, 0), FALSE)</f>
        <v>#N/A</v>
      </c>
      <c r="F22" s="548" t="e">
        <f>VLOOKUP($W$19&amp;$W$4&amp;$W22, 'Review FPET Inputs'!$H$37:$AB$87, MATCH('Reviewing Confidence Interval'!F$8, 'Review FPET Inputs'!$H$37:$AA$37, 0), FALSE)</f>
        <v>#N/A</v>
      </c>
      <c r="G22" s="548" t="e">
        <f>VLOOKUP($W$19&amp;$W$4&amp;$W22, 'Review FPET Inputs'!$H$37:$AB$87, MATCH('Reviewing Confidence Interval'!G$8, 'Review FPET Inputs'!$H$37:$AA$37, 0), FALSE)</f>
        <v>#N/A</v>
      </c>
      <c r="H22" s="548" t="e">
        <f>VLOOKUP($W$19&amp;$W$4&amp;$W22, 'Review FPET Inputs'!$H$37:$AB$87, MATCH('Reviewing Confidence Interval'!H$8, 'Review FPET Inputs'!$H$37:$AA$37, 0), FALSE)</f>
        <v>#N/A</v>
      </c>
      <c r="I22" s="548" t="e">
        <f>VLOOKUP($W$19&amp;$W$4&amp;$W22, 'Review FPET Inputs'!$H$37:$AB$87, MATCH('Reviewing Confidence Interval'!I$8, 'Review FPET Inputs'!$H$37:$AA$37, 0), FALSE)</f>
        <v>#N/A</v>
      </c>
      <c r="J22" s="548" t="e">
        <f>VLOOKUP($W$19&amp;$W$4&amp;$W22, 'Review FPET Inputs'!$H$37:$AB$87, MATCH('Reviewing Confidence Interval'!J$8, 'Review FPET Inputs'!$H$37:$AA$37, 0), FALSE)</f>
        <v>#N/A</v>
      </c>
      <c r="K22" s="548" t="e">
        <f>VLOOKUP($W$19&amp;$W$4&amp;$W22, 'Review FPET Inputs'!$H$37:$AB$87, MATCH('Reviewing Confidence Interval'!K$8, 'Review FPET Inputs'!$H$37:$AA$37, 0), FALSE)</f>
        <v>#N/A</v>
      </c>
      <c r="L22" s="548" t="e">
        <f>VLOOKUP($W$19&amp;$W$4&amp;$W22, 'Review FPET Inputs'!$H$37:$AB$87, MATCH('Reviewing Confidence Interval'!L$8, 'Review FPET Inputs'!$H$37:$AA$37, 0), FALSE)</f>
        <v>#N/A</v>
      </c>
      <c r="M22" s="548" t="e">
        <f>VLOOKUP($W$19&amp;$W$4&amp;$W22, 'Review FPET Inputs'!$H$37:$AB$87, MATCH('Reviewing Confidence Interval'!M$8, 'Review FPET Inputs'!$H$37:$AA$37, 0), FALSE)</f>
        <v>#N/A</v>
      </c>
      <c r="N22" s="548" t="e">
        <f>VLOOKUP($W$19&amp;$W$4&amp;$W22, 'Review FPET Inputs'!$H$37:$AB$87, MATCH('Reviewing Confidence Interval'!N$8, 'Review FPET Inputs'!$H$37:$AA$37, 0), FALSE)</f>
        <v>#N/A</v>
      </c>
      <c r="O22" s="548" t="e">
        <f>VLOOKUP($W$19&amp;$W$4&amp;$W22, 'Review FPET Inputs'!$H$37:$AB$87, MATCH('Reviewing Confidence Interval'!O$8, 'Review FPET Inputs'!$H$37:$AA$37, 0), FALSE)</f>
        <v>#N/A</v>
      </c>
      <c r="P22" s="548" t="e">
        <f>VLOOKUP($W$19&amp;$W$4&amp;$W22, 'Review FPET Inputs'!$H$37:$AB$87, MATCH('Reviewing Confidence Interval'!P$8, 'Review FPET Inputs'!$H$37:$AA$37, 0), FALSE)</f>
        <v>#N/A</v>
      </c>
      <c r="Q22" s="548" t="e">
        <f>VLOOKUP($W$19&amp;$W$4&amp;$W22, 'Review FPET Inputs'!$H$37:$AB$87, MATCH('Reviewing Confidence Interval'!Q$8, 'Review FPET Inputs'!$H$37:$AA$37, 0), FALSE)</f>
        <v>#N/A</v>
      </c>
      <c r="R22" s="548" t="e">
        <f>VLOOKUP($W$19&amp;$W$4&amp;$W22, 'Review FPET Inputs'!$H$37:$AB$87, MATCH('Reviewing Confidence Interval'!R$8, 'Review FPET Inputs'!$H$37:$AA$37, 0), FALSE)</f>
        <v>#N/A</v>
      </c>
      <c r="S22" s="548" t="e">
        <f>VLOOKUP($W$19&amp;$W$4&amp;$W22, 'Review FPET Inputs'!$H$37:$AB$87, MATCH('Reviewing Confidence Interval'!S$8, 'Review FPET Inputs'!$H$37:$AA$37, 0), FALSE)</f>
        <v>#N/A</v>
      </c>
      <c r="T22" s="548" t="e">
        <f>VLOOKUP($W$19&amp;$W$4&amp;$W22, 'Review FPET Inputs'!$H$37:$AB$87, MATCH('Reviewing Confidence Interval'!T$8, 'Review FPET Inputs'!$H$37:$AA$37, 0), FALSE)</f>
        <v>#N/A</v>
      </c>
      <c r="U22" s="548" t="e">
        <f>VLOOKUP($W$19&amp;$W$4&amp;$W22, 'Review FPET Inputs'!$H$37:$AB$87, MATCH('Reviewing Confidence Interval'!U$8, 'Review FPET Inputs'!$H$37:$AA$37, 0), FALSE)</f>
        <v>#N/A</v>
      </c>
      <c r="W22" s="706">
        <v>2.5</v>
      </c>
      <c r="X22" s="93" t="s">
        <v>1181</v>
      </c>
      <c r="Y22" s="716" t="s">
        <v>1184</v>
      </c>
      <c r="AE22" s="27"/>
    </row>
    <row r="23" spans="2:32" s="706" customFormat="1" ht="39.6" customHeight="1" x14ac:dyDescent="0.3">
      <c r="B23" s="549" t="str">
        <f>IF(Language=English, X23, Y23)</f>
        <v>Median Estimate (50%)</v>
      </c>
      <c r="C23" s="548" t="e">
        <f>VLOOKUP($W$19&amp;$W$4&amp;$W23, 'Review FPET Inputs'!$H$37:$AB$87, MATCH('Reviewing Confidence Interval'!C$8, 'Review FPET Inputs'!$H$37:$AA$37, 0), FALSE)</f>
        <v>#N/A</v>
      </c>
      <c r="D23" s="548" t="e">
        <f>VLOOKUP($W$19&amp;$W$4&amp;$W23, 'Review FPET Inputs'!$H$37:$AB$87, MATCH('Reviewing Confidence Interval'!D$8, 'Review FPET Inputs'!$H$37:$AA$37, 0), FALSE)</f>
        <v>#N/A</v>
      </c>
      <c r="E23" s="548" t="e">
        <f>VLOOKUP($W$19&amp;$W$4&amp;$W23, 'Review FPET Inputs'!$H$37:$AB$87, MATCH('Reviewing Confidence Interval'!E$8, 'Review FPET Inputs'!$H$37:$AA$37, 0), FALSE)</f>
        <v>#N/A</v>
      </c>
      <c r="F23" s="548" t="e">
        <f>VLOOKUP($W$19&amp;$W$4&amp;$W23, 'Review FPET Inputs'!$H$37:$AB$87, MATCH('Reviewing Confidence Interval'!F$8, 'Review FPET Inputs'!$H$37:$AA$37, 0), FALSE)</f>
        <v>#N/A</v>
      </c>
      <c r="G23" s="548" t="e">
        <f>VLOOKUP($W$19&amp;$W$4&amp;$W23, 'Review FPET Inputs'!$H$37:$AB$87, MATCH('Reviewing Confidence Interval'!G$8, 'Review FPET Inputs'!$H$37:$AA$37, 0), FALSE)</f>
        <v>#N/A</v>
      </c>
      <c r="H23" s="548" t="e">
        <f>VLOOKUP($W$19&amp;$W$4&amp;$W23, 'Review FPET Inputs'!$H$37:$AB$87, MATCH('Reviewing Confidence Interval'!H$8, 'Review FPET Inputs'!$H$37:$AA$37, 0), FALSE)</f>
        <v>#N/A</v>
      </c>
      <c r="I23" s="548" t="e">
        <f>VLOOKUP($W$19&amp;$W$4&amp;$W23, 'Review FPET Inputs'!$H$37:$AB$87, MATCH('Reviewing Confidence Interval'!I$8, 'Review FPET Inputs'!$H$37:$AA$37, 0), FALSE)</f>
        <v>#N/A</v>
      </c>
      <c r="J23" s="548" t="e">
        <f>VLOOKUP($W$19&amp;$W$4&amp;$W23, 'Review FPET Inputs'!$H$37:$AB$87, MATCH('Reviewing Confidence Interval'!J$8, 'Review FPET Inputs'!$H$37:$AA$37, 0), FALSE)</f>
        <v>#N/A</v>
      </c>
      <c r="K23" s="548" t="e">
        <f>VLOOKUP($W$19&amp;$W$4&amp;$W23, 'Review FPET Inputs'!$H$37:$AB$87, MATCH('Reviewing Confidence Interval'!K$8, 'Review FPET Inputs'!$H$37:$AA$37, 0), FALSE)</f>
        <v>#N/A</v>
      </c>
      <c r="L23" s="548" t="e">
        <f>VLOOKUP($W$19&amp;$W$4&amp;$W23, 'Review FPET Inputs'!$H$37:$AB$87, MATCH('Reviewing Confidence Interval'!L$8, 'Review FPET Inputs'!$H$37:$AA$37, 0), FALSE)</f>
        <v>#N/A</v>
      </c>
      <c r="M23" s="548" t="e">
        <f>VLOOKUP($W$19&amp;$W$4&amp;$W23, 'Review FPET Inputs'!$H$37:$AB$87, MATCH('Reviewing Confidence Interval'!M$8, 'Review FPET Inputs'!$H$37:$AA$37, 0), FALSE)</f>
        <v>#N/A</v>
      </c>
      <c r="N23" s="548" t="e">
        <f>VLOOKUP($W$19&amp;$W$4&amp;$W23, 'Review FPET Inputs'!$H$37:$AB$87, MATCH('Reviewing Confidence Interval'!N$8, 'Review FPET Inputs'!$H$37:$AA$37, 0), FALSE)</f>
        <v>#N/A</v>
      </c>
      <c r="O23" s="548" t="e">
        <f>VLOOKUP($W$19&amp;$W$4&amp;$W23, 'Review FPET Inputs'!$H$37:$AB$87, MATCH('Reviewing Confidence Interval'!O$8, 'Review FPET Inputs'!$H$37:$AA$37, 0), FALSE)</f>
        <v>#N/A</v>
      </c>
      <c r="P23" s="548" t="e">
        <f>VLOOKUP($W$19&amp;$W$4&amp;$W23, 'Review FPET Inputs'!$H$37:$AB$87, MATCH('Reviewing Confidence Interval'!P$8, 'Review FPET Inputs'!$H$37:$AA$37, 0), FALSE)</f>
        <v>#N/A</v>
      </c>
      <c r="Q23" s="548" t="e">
        <f>VLOOKUP($W$19&amp;$W$4&amp;$W23, 'Review FPET Inputs'!$H$37:$AB$87, MATCH('Reviewing Confidence Interval'!Q$8, 'Review FPET Inputs'!$H$37:$AA$37, 0), FALSE)</f>
        <v>#N/A</v>
      </c>
      <c r="R23" s="548" t="e">
        <f>VLOOKUP($W$19&amp;$W$4&amp;$W23, 'Review FPET Inputs'!$H$37:$AB$87, MATCH('Reviewing Confidence Interval'!R$8, 'Review FPET Inputs'!$H$37:$AA$37, 0), FALSE)</f>
        <v>#N/A</v>
      </c>
      <c r="S23" s="548" t="e">
        <f>VLOOKUP($W$19&amp;$W$4&amp;$W23, 'Review FPET Inputs'!$H$37:$AB$87, MATCH('Reviewing Confidence Interval'!S$8, 'Review FPET Inputs'!$H$37:$AA$37, 0), FALSE)</f>
        <v>#N/A</v>
      </c>
      <c r="T23" s="548" t="e">
        <f>VLOOKUP($W$19&amp;$W$4&amp;$W23, 'Review FPET Inputs'!$H$37:$AB$87, MATCH('Reviewing Confidence Interval'!T$8, 'Review FPET Inputs'!$H$37:$AA$37, 0), FALSE)</f>
        <v>#N/A</v>
      </c>
      <c r="U23" s="548" t="e">
        <f>VLOOKUP($W$19&amp;$W$4&amp;$W23, 'Review FPET Inputs'!$H$37:$AB$87, MATCH('Reviewing Confidence Interval'!U$8, 'Review FPET Inputs'!$H$37:$AA$37, 0), FALSE)</f>
        <v>#N/A</v>
      </c>
      <c r="W23" s="706">
        <v>50</v>
      </c>
      <c r="X23" s="93" t="s">
        <v>1183</v>
      </c>
      <c r="Y23" s="716" t="s">
        <v>1185</v>
      </c>
      <c r="AA23"/>
    </row>
    <row r="24" spans="2:32" s="706" customFormat="1" ht="39.6" customHeight="1" x14ac:dyDescent="0.3">
      <c r="B24" s="549" t="str">
        <f>IF(Language=English, X24, Y24)</f>
        <v>Upper Bound (97.5%)</v>
      </c>
      <c r="C24" s="548" t="e">
        <f>VLOOKUP($W$19&amp;$W$4&amp;$W24, 'Review FPET Inputs'!$H$37:$AB$87, MATCH('Reviewing Confidence Interval'!C$8, 'Review FPET Inputs'!$H$37:$AA$37, 0), FALSE)</f>
        <v>#N/A</v>
      </c>
      <c r="D24" s="548" t="e">
        <f>VLOOKUP($W$19&amp;$W$4&amp;$W24, 'Review FPET Inputs'!$H$37:$AB$87, MATCH('Reviewing Confidence Interval'!D$8, 'Review FPET Inputs'!$H$37:$AA$37, 0), FALSE)</f>
        <v>#N/A</v>
      </c>
      <c r="E24" s="548" t="e">
        <f>VLOOKUP($W$19&amp;$W$4&amp;$W24, 'Review FPET Inputs'!$H$37:$AB$87, MATCH('Reviewing Confidence Interval'!E$8, 'Review FPET Inputs'!$H$37:$AA$37, 0), FALSE)</f>
        <v>#N/A</v>
      </c>
      <c r="F24" s="548" t="e">
        <f>VLOOKUP($W$19&amp;$W$4&amp;$W24, 'Review FPET Inputs'!$H$37:$AB$87, MATCH('Reviewing Confidence Interval'!F$8, 'Review FPET Inputs'!$H$37:$AA$37, 0), FALSE)</f>
        <v>#N/A</v>
      </c>
      <c r="G24" s="548" t="e">
        <f>VLOOKUP($W$19&amp;$W$4&amp;$W24, 'Review FPET Inputs'!$H$37:$AB$87, MATCH('Reviewing Confidence Interval'!G$8, 'Review FPET Inputs'!$H$37:$AA$37, 0), FALSE)</f>
        <v>#N/A</v>
      </c>
      <c r="H24" s="548" t="e">
        <f>VLOOKUP($W$19&amp;$W$4&amp;$W24, 'Review FPET Inputs'!$H$37:$AB$87, MATCH('Reviewing Confidence Interval'!H$8, 'Review FPET Inputs'!$H$37:$AA$37, 0), FALSE)</f>
        <v>#N/A</v>
      </c>
      <c r="I24" s="548" t="e">
        <f>VLOOKUP($W$19&amp;$W$4&amp;$W24, 'Review FPET Inputs'!$H$37:$AB$87, MATCH('Reviewing Confidence Interval'!I$8, 'Review FPET Inputs'!$H$37:$AA$37, 0), FALSE)</f>
        <v>#N/A</v>
      </c>
      <c r="J24" s="548" t="e">
        <f>VLOOKUP($W$19&amp;$W$4&amp;$W24, 'Review FPET Inputs'!$H$37:$AB$87, MATCH('Reviewing Confidence Interval'!J$8, 'Review FPET Inputs'!$H$37:$AA$37, 0), FALSE)</f>
        <v>#N/A</v>
      </c>
      <c r="K24" s="548" t="e">
        <f>VLOOKUP($W$19&amp;$W$4&amp;$W24, 'Review FPET Inputs'!$H$37:$AB$87, MATCH('Reviewing Confidence Interval'!K$8, 'Review FPET Inputs'!$H$37:$AA$37, 0), FALSE)</f>
        <v>#N/A</v>
      </c>
      <c r="L24" s="548" t="e">
        <f>VLOOKUP($W$19&amp;$W$4&amp;$W24, 'Review FPET Inputs'!$H$37:$AB$87, MATCH('Reviewing Confidence Interval'!L$8, 'Review FPET Inputs'!$H$37:$AA$37, 0), FALSE)</f>
        <v>#N/A</v>
      </c>
      <c r="M24" s="548" t="e">
        <f>VLOOKUP($W$19&amp;$W$4&amp;$W24, 'Review FPET Inputs'!$H$37:$AB$87, MATCH('Reviewing Confidence Interval'!M$8, 'Review FPET Inputs'!$H$37:$AA$37, 0), FALSE)</f>
        <v>#N/A</v>
      </c>
      <c r="N24" s="548" t="e">
        <f>VLOOKUP($W$19&amp;$W$4&amp;$W24, 'Review FPET Inputs'!$H$37:$AB$87, MATCH('Reviewing Confidence Interval'!N$8, 'Review FPET Inputs'!$H$37:$AA$37, 0), FALSE)</f>
        <v>#N/A</v>
      </c>
      <c r="O24" s="548" t="e">
        <f>VLOOKUP($W$19&amp;$W$4&amp;$W24, 'Review FPET Inputs'!$H$37:$AB$87, MATCH('Reviewing Confidence Interval'!O$8, 'Review FPET Inputs'!$H$37:$AA$37, 0), FALSE)</f>
        <v>#N/A</v>
      </c>
      <c r="P24" s="548" t="e">
        <f>VLOOKUP($W$19&amp;$W$4&amp;$W24, 'Review FPET Inputs'!$H$37:$AB$87, MATCH('Reviewing Confidence Interval'!P$8, 'Review FPET Inputs'!$H$37:$AA$37, 0), FALSE)</f>
        <v>#N/A</v>
      </c>
      <c r="Q24" s="548" t="e">
        <f>VLOOKUP($W$19&amp;$W$4&amp;$W24, 'Review FPET Inputs'!$H$37:$AB$87, MATCH('Reviewing Confidence Interval'!Q$8, 'Review FPET Inputs'!$H$37:$AA$37, 0), FALSE)</f>
        <v>#N/A</v>
      </c>
      <c r="R24" s="548" t="e">
        <f>VLOOKUP($W$19&amp;$W$4&amp;$W24, 'Review FPET Inputs'!$H$37:$AB$87, MATCH('Reviewing Confidence Interval'!R$8, 'Review FPET Inputs'!$H$37:$AA$37, 0), FALSE)</f>
        <v>#N/A</v>
      </c>
      <c r="S24" s="548" t="e">
        <f>VLOOKUP($W$19&amp;$W$4&amp;$W24, 'Review FPET Inputs'!$H$37:$AB$87, MATCH('Reviewing Confidence Interval'!S$8, 'Review FPET Inputs'!$H$37:$AA$37, 0), FALSE)</f>
        <v>#N/A</v>
      </c>
      <c r="T24" s="548" t="e">
        <f>VLOOKUP($W$19&amp;$W$4&amp;$W24, 'Review FPET Inputs'!$H$37:$AB$87, MATCH('Reviewing Confidence Interval'!T$8, 'Review FPET Inputs'!$H$37:$AA$37, 0), FALSE)</f>
        <v>#N/A</v>
      </c>
      <c r="U24" s="548" t="e">
        <f>VLOOKUP($W$19&amp;$W$4&amp;$W24, 'Review FPET Inputs'!$H$37:$AB$87, MATCH('Reviewing Confidence Interval'!U$8, 'Review FPET Inputs'!$H$37:$AA$37, 0), FALSE)</f>
        <v>#N/A</v>
      </c>
      <c r="W24" s="706">
        <v>97.5</v>
      </c>
      <c r="X24" s="13" t="s">
        <v>1182</v>
      </c>
      <c r="Y24" s="13" t="s">
        <v>1186</v>
      </c>
      <c r="AA24"/>
    </row>
    <row r="25" spans="2:32" s="706" customFormat="1" ht="7.2" customHeight="1" x14ac:dyDescent="0.3"/>
    <row r="26" spans="2:32" s="706" customFormat="1" ht="39.6" customHeight="1" x14ac:dyDescent="0.3">
      <c r="B26" s="718" t="s">
        <v>1058</v>
      </c>
      <c r="C26" s="719" t="e">
        <f t="shared" ref="C26:U26" si="1">C24-C22</f>
        <v>#N/A</v>
      </c>
      <c r="D26" s="719" t="e">
        <f t="shared" si="1"/>
        <v>#N/A</v>
      </c>
      <c r="E26" s="719" t="e">
        <f t="shared" si="1"/>
        <v>#N/A</v>
      </c>
      <c r="F26" s="719" t="e">
        <f t="shared" si="1"/>
        <v>#N/A</v>
      </c>
      <c r="G26" s="719" t="e">
        <f t="shared" si="1"/>
        <v>#N/A</v>
      </c>
      <c r="H26" s="719" t="e">
        <f t="shared" si="1"/>
        <v>#N/A</v>
      </c>
      <c r="I26" s="719" t="e">
        <f t="shared" si="1"/>
        <v>#N/A</v>
      </c>
      <c r="J26" s="719" t="e">
        <f t="shared" si="1"/>
        <v>#N/A</v>
      </c>
      <c r="K26" s="719" t="e">
        <f t="shared" si="1"/>
        <v>#N/A</v>
      </c>
      <c r="L26" s="719" t="e">
        <f t="shared" si="1"/>
        <v>#N/A</v>
      </c>
      <c r="M26" s="719" t="e">
        <f t="shared" si="1"/>
        <v>#N/A</v>
      </c>
      <c r="N26" s="719" t="e">
        <f t="shared" si="1"/>
        <v>#N/A</v>
      </c>
      <c r="O26" s="719" t="e">
        <f t="shared" si="1"/>
        <v>#N/A</v>
      </c>
      <c r="P26" s="719" t="e">
        <f t="shared" si="1"/>
        <v>#N/A</v>
      </c>
      <c r="Q26" s="719" t="e">
        <f t="shared" si="1"/>
        <v>#N/A</v>
      </c>
      <c r="R26" s="719" t="e">
        <f t="shared" si="1"/>
        <v>#N/A</v>
      </c>
      <c r="S26" s="719" t="e">
        <f t="shared" si="1"/>
        <v>#N/A</v>
      </c>
      <c r="T26" s="719" t="e">
        <f t="shared" si="1"/>
        <v>#N/A</v>
      </c>
      <c r="U26" s="719" t="e">
        <f t="shared" si="1"/>
        <v>#N/A</v>
      </c>
      <c r="X26" s="13"/>
      <c r="Y26" s="13"/>
    </row>
    <row r="27" spans="2:32" s="706" customFormat="1" ht="67.95" customHeight="1" x14ac:dyDescent="0.3">
      <c r="V27" s="183"/>
      <c r="X27" s="13"/>
      <c r="Y27" s="13"/>
    </row>
    <row r="28" spans="2:32" s="706" customFormat="1" ht="67.95" customHeight="1" x14ac:dyDescent="0.3">
      <c r="X28" s="13"/>
      <c r="Y28" s="237"/>
    </row>
    <row r="29" spans="2:32" s="706" customFormat="1" ht="67.95" customHeight="1" x14ac:dyDescent="0.3">
      <c r="X29" s="13"/>
      <c r="Y29" s="13"/>
    </row>
    <row r="30" spans="2:32" s="706" customFormat="1" ht="11.25" customHeight="1" x14ac:dyDescent="0.3">
      <c r="B30" s="44"/>
      <c r="X30" s="229"/>
      <c r="Y30" s="13"/>
    </row>
    <row r="31" spans="2:32" s="706" customFormat="1" ht="32.25" customHeight="1" x14ac:dyDescent="0.3"/>
    <row r="32" spans="2:32" s="706" customFormat="1" ht="28.5" customHeight="1" thickBot="1" x14ac:dyDescent="0.35">
      <c r="B32" s="553" t="str">
        <f>IF(Language=English, X32, Y32)</f>
        <v>Comparing Demand Satisfied with a Modern Method (mDS)</v>
      </c>
      <c r="C32" s="554"/>
      <c r="D32" s="554"/>
      <c r="E32" s="554"/>
      <c r="F32" s="554"/>
      <c r="G32" s="554"/>
      <c r="H32" s="554"/>
      <c r="I32" s="554"/>
      <c r="J32" s="554"/>
      <c r="K32" s="554"/>
      <c r="L32" s="554"/>
      <c r="M32" s="554"/>
      <c r="N32" s="554"/>
      <c r="O32" s="554"/>
      <c r="P32" s="554"/>
      <c r="Q32" s="554"/>
      <c r="R32" s="554"/>
      <c r="S32" s="554"/>
      <c r="T32" s="554"/>
      <c r="U32" s="554"/>
      <c r="V32" s="708"/>
      <c r="W32" s="706" t="s">
        <v>1016</v>
      </c>
      <c r="X32" s="210" t="s">
        <v>1187</v>
      </c>
      <c r="Y32" s="211" t="s">
        <v>1180</v>
      </c>
    </row>
    <row r="33" spans="2:32" s="706" customFormat="1" ht="24" customHeight="1" x14ac:dyDescent="0.3">
      <c r="B33" s="601">
        <f>IF(Language="english", $X33, $Y33)</f>
        <v>0</v>
      </c>
      <c r="D33" s="87"/>
      <c r="F33" s="80"/>
      <c r="G33" s="703"/>
      <c r="X33" s="88"/>
      <c r="Y33" s="91"/>
      <c r="AA33" s="706" t="s">
        <v>98</v>
      </c>
      <c r="AB33" s="706" t="s">
        <v>147</v>
      </c>
      <c r="AC33" s="706" t="str">
        <f>IF(Language="English", AA33, AB33)</f>
        <v>All women</v>
      </c>
      <c r="AD33" s="706" t="s">
        <v>661</v>
      </c>
      <c r="AE33" s="706" t="s">
        <v>660</v>
      </c>
      <c r="AF33" s="706" t="str">
        <f>IF(Language="English", AD33, AE33)</f>
        <v>All Methods</v>
      </c>
    </row>
    <row r="34" spans="2:32" s="706" customFormat="1" ht="32.25" customHeight="1" x14ac:dyDescent="0.3">
      <c r="B34" s="44"/>
      <c r="C34" s="550">
        <v>2012</v>
      </c>
      <c r="D34" s="550">
        <v>2013</v>
      </c>
      <c r="E34" s="550">
        <v>2014</v>
      </c>
      <c r="F34" s="550">
        <v>2015</v>
      </c>
      <c r="G34" s="550">
        <v>2016</v>
      </c>
      <c r="H34" s="550">
        <v>2017</v>
      </c>
      <c r="I34" s="550">
        <v>2018</v>
      </c>
      <c r="J34" s="550">
        <v>2019</v>
      </c>
      <c r="K34" s="550">
        <v>2020</v>
      </c>
      <c r="L34" s="550">
        <v>2021</v>
      </c>
      <c r="M34" s="550">
        <v>2022</v>
      </c>
      <c r="N34" s="550">
        <v>2023</v>
      </c>
      <c r="O34" s="550">
        <v>2024</v>
      </c>
      <c r="P34" s="550">
        <v>2025</v>
      </c>
      <c r="Q34" s="550">
        <v>2026</v>
      </c>
      <c r="R34" s="550">
        <v>2027</v>
      </c>
      <c r="S34" s="550">
        <v>2028</v>
      </c>
      <c r="T34" s="550">
        <v>2029</v>
      </c>
      <c r="U34" s="550">
        <v>2030</v>
      </c>
      <c r="X34" s="13"/>
      <c r="Y34" s="13"/>
      <c r="AA34" s="706" t="s">
        <v>123</v>
      </c>
      <c r="AB34" s="706" t="s">
        <v>146</v>
      </c>
      <c r="AC34" s="706" t="str">
        <f>IF(Language="English", AA34, AB34)</f>
        <v>Married women</v>
      </c>
      <c r="AD34" s="706" t="s">
        <v>584</v>
      </c>
      <c r="AE34" s="27" t="s">
        <v>145</v>
      </c>
      <c r="AF34" s="706" t="str">
        <f>IF(Language="English", AD34, AE34)</f>
        <v>Modern Methods</v>
      </c>
    </row>
    <row r="35" spans="2:32" s="706" customFormat="1" ht="39.6" customHeight="1" x14ac:dyDescent="0.3">
      <c r="B35" s="549" t="str">
        <f>IF(Language=English, X35, Y35)</f>
        <v>Lower Bound (2.5%)</v>
      </c>
      <c r="C35" s="548" t="e">
        <f>VLOOKUP($W$32&amp;$W$4&amp;$W35, 'Review FPET Inputs'!$H$37:$AB$87, MATCH('Reviewing Confidence Interval'!C$8, 'Review FPET Inputs'!$H$37:$AA$37, 0), FALSE)</f>
        <v>#N/A</v>
      </c>
      <c r="D35" s="548" t="e">
        <f>VLOOKUP($W$32&amp;$W$4&amp;$W35, 'Review FPET Inputs'!$H$37:$AB$87, MATCH('Reviewing Confidence Interval'!D$8, 'Review FPET Inputs'!$H$37:$AA$37, 0), FALSE)</f>
        <v>#N/A</v>
      </c>
      <c r="E35" s="548" t="e">
        <f>VLOOKUP($W$32&amp;$W$4&amp;$W35, 'Review FPET Inputs'!$H$37:$AB$87, MATCH('Reviewing Confidence Interval'!E$8, 'Review FPET Inputs'!$H$37:$AA$37, 0), FALSE)</f>
        <v>#N/A</v>
      </c>
      <c r="F35" s="548" t="e">
        <f>VLOOKUP($W$32&amp;$W$4&amp;$W35, 'Review FPET Inputs'!$H$37:$AB$87, MATCH('Reviewing Confidence Interval'!F$8, 'Review FPET Inputs'!$H$37:$AA$37, 0), FALSE)</f>
        <v>#N/A</v>
      </c>
      <c r="G35" s="548" t="e">
        <f>VLOOKUP($W$32&amp;$W$4&amp;$W35, 'Review FPET Inputs'!$H$37:$AB$87, MATCH('Reviewing Confidence Interval'!G$8, 'Review FPET Inputs'!$H$37:$AA$37, 0), FALSE)</f>
        <v>#N/A</v>
      </c>
      <c r="H35" s="548" t="e">
        <f>VLOOKUP($W$32&amp;$W$4&amp;$W35, 'Review FPET Inputs'!$H$37:$AB$87, MATCH('Reviewing Confidence Interval'!H$8, 'Review FPET Inputs'!$H$37:$AA$37, 0), FALSE)</f>
        <v>#N/A</v>
      </c>
      <c r="I35" s="548" t="e">
        <f>VLOOKUP($W$32&amp;$W$4&amp;$W35, 'Review FPET Inputs'!$H$37:$AB$87, MATCH('Reviewing Confidence Interval'!I$8, 'Review FPET Inputs'!$H$37:$AA$37, 0), FALSE)</f>
        <v>#N/A</v>
      </c>
      <c r="J35" s="548" t="e">
        <f>VLOOKUP($W$32&amp;$W$4&amp;$W35, 'Review FPET Inputs'!$H$37:$AB$87, MATCH('Reviewing Confidence Interval'!J$8, 'Review FPET Inputs'!$H$37:$AA$37, 0), FALSE)</f>
        <v>#N/A</v>
      </c>
      <c r="K35" s="548" t="e">
        <f>VLOOKUP($W$32&amp;$W$4&amp;$W35, 'Review FPET Inputs'!$H$37:$AB$87, MATCH('Reviewing Confidence Interval'!K$8, 'Review FPET Inputs'!$H$37:$AA$37, 0), FALSE)</f>
        <v>#N/A</v>
      </c>
      <c r="L35" s="548" t="e">
        <f>VLOOKUP($W$32&amp;$W$4&amp;$W35, 'Review FPET Inputs'!$H$37:$AB$87, MATCH('Reviewing Confidence Interval'!L$8, 'Review FPET Inputs'!$H$37:$AA$37, 0), FALSE)</f>
        <v>#N/A</v>
      </c>
      <c r="M35" s="548" t="e">
        <f>VLOOKUP($W$32&amp;$W$4&amp;$W35, 'Review FPET Inputs'!$H$37:$AB$87, MATCH('Reviewing Confidence Interval'!M$8, 'Review FPET Inputs'!$H$37:$AA$37, 0), FALSE)</f>
        <v>#N/A</v>
      </c>
      <c r="N35" s="548" t="e">
        <f>VLOOKUP($W$32&amp;$W$4&amp;$W35, 'Review FPET Inputs'!$H$37:$AB$87, MATCH('Reviewing Confidence Interval'!N$8, 'Review FPET Inputs'!$H$37:$AA$37, 0), FALSE)</f>
        <v>#N/A</v>
      </c>
      <c r="O35" s="548" t="e">
        <f>VLOOKUP($W$32&amp;$W$4&amp;$W35, 'Review FPET Inputs'!$H$37:$AB$87, MATCH('Reviewing Confidence Interval'!O$8, 'Review FPET Inputs'!$H$37:$AA$37, 0), FALSE)</f>
        <v>#N/A</v>
      </c>
      <c r="P35" s="548" t="e">
        <f>VLOOKUP($W$32&amp;$W$4&amp;$W35, 'Review FPET Inputs'!$H$37:$AB$87, MATCH('Reviewing Confidence Interval'!P$8, 'Review FPET Inputs'!$H$37:$AA$37, 0), FALSE)</f>
        <v>#N/A</v>
      </c>
      <c r="Q35" s="548" t="e">
        <f>VLOOKUP($W$32&amp;$W$4&amp;$W35, 'Review FPET Inputs'!$H$37:$AB$87, MATCH('Reviewing Confidence Interval'!Q$8, 'Review FPET Inputs'!$H$37:$AA$37, 0), FALSE)</f>
        <v>#N/A</v>
      </c>
      <c r="R35" s="548" t="e">
        <f>VLOOKUP($W$32&amp;$W$4&amp;$W35, 'Review FPET Inputs'!$H$37:$AB$87, MATCH('Reviewing Confidence Interval'!R$8, 'Review FPET Inputs'!$H$37:$AA$37, 0), FALSE)</f>
        <v>#N/A</v>
      </c>
      <c r="S35" s="548" t="e">
        <f>VLOOKUP($W$32&amp;$W$4&amp;$W35, 'Review FPET Inputs'!$H$37:$AB$87, MATCH('Reviewing Confidence Interval'!S$8, 'Review FPET Inputs'!$H$37:$AA$37, 0), FALSE)</f>
        <v>#N/A</v>
      </c>
      <c r="T35" s="548" t="e">
        <f>VLOOKUP($W$32&amp;$W$4&amp;$W35, 'Review FPET Inputs'!$H$37:$AB$87, MATCH('Reviewing Confidence Interval'!T$8, 'Review FPET Inputs'!$H$37:$AA$37, 0), FALSE)</f>
        <v>#N/A</v>
      </c>
      <c r="U35" s="548" t="e">
        <f>VLOOKUP($W$32&amp;$W$4&amp;$W35, 'Review FPET Inputs'!$H$37:$AB$87, MATCH('Reviewing Confidence Interval'!U$8, 'Review FPET Inputs'!$H$37:$AA$37, 0), FALSE)</f>
        <v>#N/A</v>
      </c>
      <c r="W35" s="706">
        <v>2.5</v>
      </c>
      <c r="X35" s="93" t="s">
        <v>1181</v>
      </c>
      <c r="Y35" s="716" t="s">
        <v>1184</v>
      </c>
      <c r="AE35" s="27"/>
    </row>
    <row r="36" spans="2:32" s="706" customFormat="1" ht="39.6" customHeight="1" x14ac:dyDescent="0.3">
      <c r="B36" s="549" t="str">
        <f>IF(Language=English, X36, Y36)</f>
        <v>Median Estimate (50%)</v>
      </c>
      <c r="C36" s="548" t="e">
        <f>VLOOKUP($W$32&amp;$W$4&amp;$W36, 'Review FPET Inputs'!$H$37:$AB$87, MATCH('Reviewing Confidence Interval'!C$8, 'Review FPET Inputs'!$H$37:$AA$37, 0), FALSE)</f>
        <v>#N/A</v>
      </c>
      <c r="D36" s="548" t="e">
        <f>VLOOKUP($W$32&amp;$W$4&amp;$W36, 'Review FPET Inputs'!$H$37:$AB$87, MATCH('Reviewing Confidence Interval'!D$8, 'Review FPET Inputs'!$H$37:$AA$37, 0), FALSE)</f>
        <v>#N/A</v>
      </c>
      <c r="E36" s="548" t="e">
        <f>VLOOKUP($W$32&amp;$W$4&amp;$W36, 'Review FPET Inputs'!$H$37:$AB$87, MATCH('Reviewing Confidence Interval'!E$8, 'Review FPET Inputs'!$H$37:$AA$37, 0), FALSE)</f>
        <v>#N/A</v>
      </c>
      <c r="F36" s="548" t="e">
        <f>VLOOKUP($W$32&amp;$W$4&amp;$W36, 'Review FPET Inputs'!$H$37:$AB$87, MATCH('Reviewing Confidence Interval'!F$8, 'Review FPET Inputs'!$H$37:$AA$37, 0), FALSE)</f>
        <v>#N/A</v>
      </c>
      <c r="G36" s="548" t="e">
        <f>VLOOKUP($W$32&amp;$W$4&amp;$W36, 'Review FPET Inputs'!$H$37:$AB$87, MATCH('Reviewing Confidence Interval'!G$8, 'Review FPET Inputs'!$H$37:$AA$37, 0), FALSE)</f>
        <v>#N/A</v>
      </c>
      <c r="H36" s="548" t="e">
        <f>VLOOKUP($W$32&amp;$W$4&amp;$W36, 'Review FPET Inputs'!$H$37:$AB$87, MATCH('Reviewing Confidence Interval'!H$8, 'Review FPET Inputs'!$H$37:$AA$37, 0), FALSE)</f>
        <v>#N/A</v>
      </c>
      <c r="I36" s="548" t="e">
        <f>VLOOKUP($W$32&amp;$W$4&amp;$W36, 'Review FPET Inputs'!$H$37:$AB$87, MATCH('Reviewing Confidence Interval'!I$8, 'Review FPET Inputs'!$H$37:$AA$37, 0), FALSE)</f>
        <v>#N/A</v>
      </c>
      <c r="J36" s="548" t="e">
        <f>VLOOKUP($W$32&amp;$W$4&amp;$W36, 'Review FPET Inputs'!$H$37:$AB$87, MATCH('Reviewing Confidence Interval'!J$8, 'Review FPET Inputs'!$H$37:$AA$37, 0), FALSE)</f>
        <v>#N/A</v>
      </c>
      <c r="K36" s="548" t="e">
        <f>VLOOKUP($W$32&amp;$W$4&amp;$W36, 'Review FPET Inputs'!$H$37:$AB$87, MATCH('Reviewing Confidence Interval'!K$8, 'Review FPET Inputs'!$H$37:$AA$37, 0), FALSE)</f>
        <v>#N/A</v>
      </c>
      <c r="L36" s="548" t="e">
        <f>VLOOKUP($W$32&amp;$W$4&amp;$W36, 'Review FPET Inputs'!$H$37:$AB$87, MATCH('Reviewing Confidence Interval'!L$8, 'Review FPET Inputs'!$H$37:$AA$37, 0), FALSE)</f>
        <v>#N/A</v>
      </c>
      <c r="M36" s="548" t="e">
        <f>VLOOKUP($W$32&amp;$W$4&amp;$W36, 'Review FPET Inputs'!$H$37:$AB$87, MATCH('Reviewing Confidence Interval'!M$8, 'Review FPET Inputs'!$H$37:$AA$37, 0), FALSE)</f>
        <v>#N/A</v>
      </c>
      <c r="N36" s="548" t="e">
        <f>VLOOKUP($W$32&amp;$W$4&amp;$W36, 'Review FPET Inputs'!$H$37:$AB$87, MATCH('Reviewing Confidence Interval'!N$8, 'Review FPET Inputs'!$H$37:$AA$37, 0), FALSE)</f>
        <v>#N/A</v>
      </c>
      <c r="O36" s="548" t="e">
        <f>VLOOKUP($W$32&amp;$W$4&amp;$W36, 'Review FPET Inputs'!$H$37:$AB$87, MATCH('Reviewing Confidence Interval'!O$8, 'Review FPET Inputs'!$H$37:$AA$37, 0), FALSE)</f>
        <v>#N/A</v>
      </c>
      <c r="P36" s="548" t="e">
        <f>VLOOKUP($W$32&amp;$W$4&amp;$W36, 'Review FPET Inputs'!$H$37:$AB$87, MATCH('Reviewing Confidence Interval'!P$8, 'Review FPET Inputs'!$H$37:$AA$37, 0), FALSE)</f>
        <v>#N/A</v>
      </c>
      <c r="Q36" s="548" t="e">
        <f>VLOOKUP($W$32&amp;$W$4&amp;$W36, 'Review FPET Inputs'!$H$37:$AB$87, MATCH('Reviewing Confidence Interval'!Q$8, 'Review FPET Inputs'!$H$37:$AA$37, 0), FALSE)</f>
        <v>#N/A</v>
      </c>
      <c r="R36" s="548" t="e">
        <f>VLOOKUP($W$32&amp;$W$4&amp;$W36, 'Review FPET Inputs'!$H$37:$AB$87, MATCH('Reviewing Confidence Interval'!R$8, 'Review FPET Inputs'!$H$37:$AA$37, 0), FALSE)</f>
        <v>#N/A</v>
      </c>
      <c r="S36" s="548" t="e">
        <f>VLOOKUP($W$32&amp;$W$4&amp;$W36, 'Review FPET Inputs'!$H$37:$AB$87, MATCH('Reviewing Confidence Interval'!S$8, 'Review FPET Inputs'!$H$37:$AA$37, 0), FALSE)</f>
        <v>#N/A</v>
      </c>
      <c r="T36" s="548" t="e">
        <f>VLOOKUP($W$32&amp;$W$4&amp;$W36, 'Review FPET Inputs'!$H$37:$AB$87, MATCH('Reviewing Confidence Interval'!T$8, 'Review FPET Inputs'!$H$37:$AA$37, 0), FALSE)</f>
        <v>#N/A</v>
      </c>
      <c r="U36" s="548" t="e">
        <f>VLOOKUP($W$32&amp;$W$4&amp;$W36, 'Review FPET Inputs'!$H$37:$AB$87, MATCH('Reviewing Confidence Interval'!U$8, 'Review FPET Inputs'!$H$37:$AA$37, 0), FALSE)</f>
        <v>#N/A</v>
      </c>
      <c r="W36" s="706">
        <v>50</v>
      </c>
      <c r="X36" s="93" t="s">
        <v>1183</v>
      </c>
      <c r="Y36" s="716" t="s">
        <v>1185</v>
      </c>
    </row>
    <row r="37" spans="2:32" s="706" customFormat="1" ht="39.6" customHeight="1" x14ac:dyDescent="0.3">
      <c r="B37" s="549" t="str">
        <f>IF(Language=English, X37, Y37)</f>
        <v>Upper Bound (97.5%)</v>
      </c>
      <c r="C37" s="548" t="e">
        <f>VLOOKUP($W$32&amp;$W$4&amp;$W37, 'Review FPET Inputs'!$H$37:$AB$87, MATCH('Reviewing Confidence Interval'!C$8, 'Review FPET Inputs'!$H$37:$AA$37, 0), FALSE)</f>
        <v>#N/A</v>
      </c>
      <c r="D37" s="548" t="e">
        <f>VLOOKUP($W$32&amp;$W$4&amp;$W37, 'Review FPET Inputs'!$H$37:$AB$87, MATCH('Reviewing Confidence Interval'!D$8, 'Review FPET Inputs'!$H$37:$AA$37, 0), FALSE)</f>
        <v>#N/A</v>
      </c>
      <c r="E37" s="548" t="e">
        <f>VLOOKUP($W$32&amp;$W$4&amp;$W37, 'Review FPET Inputs'!$H$37:$AB$87, MATCH('Reviewing Confidence Interval'!E$8, 'Review FPET Inputs'!$H$37:$AA$37, 0), FALSE)</f>
        <v>#N/A</v>
      </c>
      <c r="F37" s="548" t="e">
        <f>VLOOKUP($W$32&amp;$W$4&amp;$W37, 'Review FPET Inputs'!$H$37:$AB$87, MATCH('Reviewing Confidence Interval'!F$8, 'Review FPET Inputs'!$H$37:$AA$37, 0), FALSE)</f>
        <v>#N/A</v>
      </c>
      <c r="G37" s="548" t="e">
        <f>VLOOKUP($W$32&amp;$W$4&amp;$W37, 'Review FPET Inputs'!$H$37:$AB$87, MATCH('Reviewing Confidence Interval'!G$8, 'Review FPET Inputs'!$H$37:$AA$37, 0), FALSE)</f>
        <v>#N/A</v>
      </c>
      <c r="H37" s="548" t="e">
        <f>VLOOKUP($W$32&amp;$W$4&amp;$W37, 'Review FPET Inputs'!$H$37:$AB$87, MATCH('Reviewing Confidence Interval'!H$8, 'Review FPET Inputs'!$H$37:$AA$37, 0), FALSE)</f>
        <v>#N/A</v>
      </c>
      <c r="I37" s="548" t="e">
        <f>VLOOKUP($W$32&amp;$W$4&amp;$W37, 'Review FPET Inputs'!$H$37:$AB$87, MATCH('Reviewing Confidence Interval'!I$8, 'Review FPET Inputs'!$H$37:$AA$37, 0), FALSE)</f>
        <v>#N/A</v>
      </c>
      <c r="J37" s="548" t="e">
        <f>VLOOKUP($W$32&amp;$W$4&amp;$W37, 'Review FPET Inputs'!$H$37:$AB$87, MATCH('Reviewing Confidence Interval'!J$8, 'Review FPET Inputs'!$H$37:$AA$37, 0), FALSE)</f>
        <v>#N/A</v>
      </c>
      <c r="K37" s="548" t="e">
        <f>VLOOKUP($W$32&amp;$W$4&amp;$W37, 'Review FPET Inputs'!$H$37:$AB$87, MATCH('Reviewing Confidence Interval'!K$8, 'Review FPET Inputs'!$H$37:$AA$37, 0), FALSE)</f>
        <v>#N/A</v>
      </c>
      <c r="L37" s="548" t="e">
        <f>VLOOKUP($W$32&amp;$W$4&amp;$W37, 'Review FPET Inputs'!$H$37:$AB$87, MATCH('Reviewing Confidence Interval'!L$8, 'Review FPET Inputs'!$H$37:$AA$37, 0), FALSE)</f>
        <v>#N/A</v>
      </c>
      <c r="M37" s="548" t="e">
        <f>VLOOKUP($W$32&amp;$W$4&amp;$W37, 'Review FPET Inputs'!$H$37:$AB$87, MATCH('Reviewing Confidence Interval'!M$8, 'Review FPET Inputs'!$H$37:$AA$37, 0), FALSE)</f>
        <v>#N/A</v>
      </c>
      <c r="N37" s="548" t="e">
        <f>VLOOKUP($W$32&amp;$W$4&amp;$W37, 'Review FPET Inputs'!$H$37:$AB$87, MATCH('Reviewing Confidence Interval'!N$8, 'Review FPET Inputs'!$H$37:$AA$37, 0), FALSE)</f>
        <v>#N/A</v>
      </c>
      <c r="O37" s="548" t="e">
        <f>VLOOKUP($W$32&amp;$W$4&amp;$W37, 'Review FPET Inputs'!$H$37:$AB$87, MATCH('Reviewing Confidence Interval'!O$8, 'Review FPET Inputs'!$H$37:$AA$37, 0), FALSE)</f>
        <v>#N/A</v>
      </c>
      <c r="P37" s="548" t="e">
        <f>VLOOKUP($W$32&amp;$W$4&amp;$W37, 'Review FPET Inputs'!$H$37:$AB$87, MATCH('Reviewing Confidence Interval'!P$8, 'Review FPET Inputs'!$H$37:$AA$37, 0), FALSE)</f>
        <v>#N/A</v>
      </c>
      <c r="Q37" s="548" t="e">
        <f>VLOOKUP($W$32&amp;$W$4&amp;$W37, 'Review FPET Inputs'!$H$37:$AB$87, MATCH('Reviewing Confidence Interval'!Q$8, 'Review FPET Inputs'!$H$37:$AA$37, 0), FALSE)</f>
        <v>#N/A</v>
      </c>
      <c r="R37" s="548" t="e">
        <f>VLOOKUP($W$32&amp;$W$4&amp;$W37, 'Review FPET Inputs'!$H$37:$AB$87, MATCH('Reviewing Confidence Interval'!R$8, 'Review FPET Inputs'!$H$37:$AA$37, 0), FALSE)</f>
        <v>#N/A</v>
      </c>
      <c r="S37" s="548" t="e">
        <f>VLOOKUP($W$32&amp;$W$4&amp;$W37, 'Review FPET Inputs'!$H$37:$AB$87, MATCH('Reviewing Confidence Interval'!S$8, 'Review FPET Inputs'!$H$37:$AA$37, 0), FALSE)</f>
        <v>#N/A</v>
      </c>
      <c r="T37" s="548" t="e">
        <f>VLOOKUP($W$32&amp;$W$4&amp;$W37, 'Review FPET Inputs'!$H$37:$AB$87, MATCH('Reviewing Confidence Interval'!T$8, 'Review FPET Inputs'!$H$37:$AA$37, 0), FALSE)</f>
        <v>#N/A</v>
      </c>
      <c r="U37" s="548" t="e">
        <f>VLOOKUP($W$32&amp;$W$4&amp;$W37, 'Review FPET Inputs'!$H$37:$AB$87, MATCH('Reviewing Confidence Interval'!U$8, 'Review FPET Inputs'!$H$37:$AA$37, 0), FALSE)</f>
        <v>#N/A</v>
      </c>
      <c r="W37" s="706">
        <v>97.5</v>
      </c>
      <c r="X37" s="13" t="s">
        <v>1182</v>
      </c>
      <c r="Y37" s="13" t="s">
        <v>1186</v>
      </c>
    </row>
    <row r="38" spans="2:32" customFormat="1" ht="7.2" customHeight="1" x14ac:dyDescent="0.3"/>
    <row r="39" spans="2:32" s="706" customFormat="1" ht="23.4" customHeight="1" x14ac:dyDescent="0.3">
      <c r="B39" s="718" t="s">
        <v>1058</v>
      </c>
      <c r="C39" s="719" t="e">
        <f>C37-C35</f>
        <v>#N/A</v>
      </c>
      <c r="D39" s="719" t="e">
        <f t="shared" ref="D39:U39" si="2">D37-D35</f>
        <v>#N/A</v>
      </c>
      <c r="E39" s="719" t="e">
        <f t="shared" si="2"/>
        <v>#N/A</v>
      </c>
      <c r="F39" s="719" t="e">
        <f t="shared" si="2"/>
        <v>#N/A</v>
      </c>
      <c r="G39" s="719" t="e">
        <f t="shared" si="2"/>
        <v>#N/A</v>
      </c>
      <c r="H39" s="719" t="e">
        <f t="shared" si="2"/>
        <v>#N/A</v>
      </c>
      <c r="I39" s="719" t="e">
        <f t="shared" si="2"/>
        <v>#N/A</v>
      </c>
      <c r="J39" s="719" t="e">
        <f t="shared" si="2"/>
        <v>#N/A</v>
      </c>
      <c r="K39" s="719" t="e">
        <f t="shared" si="2"/>
        <v>#N/A</v>
      </c>
      <c r="L39" s="719" t="e">
        <f t="shared" si="2"/>
        <v>#N/A</v>
      </c>
      <c r="M39" s="719" t="e">
        <f t="shared" si="2"/>
        <v>#N/A</v>
      </c>
      <c r="N39" s="719" t="e">
        <f t="shared" si="2"/>
        <v>#N/A</v>
      </c>
      <c r="O39" s="719" t="e">
        <f t="shared" si="2"/>
        <v>#N/A</v>
      </c>
      <c r="P39" s="719" t="e">
        <f t="shared" si="2"/>
        <v>#N/A</v>
      </c>
      <c r="Q39" s="719" t="e">
        <f t="shared" si="2"/>
        <v>#N/A</v>
      </c>
      <c r="R39" s="719" t="e">
        <f t="shared" si="2"/>
        <v>#N/A</v>
      </c>
      <c r="S39" s="719" t="e">
        <f t="shared" si="2"/>
        <v>#N/A</v>
      </c>
      <c r="T39" s="719" t="e">
        <f t="shared" si="2"/>
        <v>#N/A</v>
      </c>
      <c r="U39" s="719" t="e">
        <f t="shared" si="2"/>
        <v>#N/A</v>
      </c>
      <c r="X39" s="13"/>
      <c r="Y39" s="13"/>
    </row>
    <row r="40" spans="2:32" s="706" customFormat="1" ht="67.95" customHeight="1" x14ac:dyDescent="0.3">
      <c r="B40" s="706" t="s">
        <v>1039</v>
      </c>
      <c r="X40" s="13"/>
      <c r="Y40" s="237"/>
    </row>
    <row r="41" spans="2:32" s="706" customFormat="1" ht="67.95" customHeight="1" x14ac:dyDescent="0.3">
      <c r="X41" s="13"/>
      <c r="Y41" s="13"/>
    </row>
    <row r="42" spans="2:32" s="706" customFormat="1" ht="11.25" customHeight="1" x14ac:dyDescent="0.3">
      <c r="B42" s="44"/>
      <c r="X42" s="229"/>
      <c r="Y42" s="13"/>
    </row>
    <row r="43" spans="2:32" customFormat="1" ht="28.5" customHeight="1" x14ac:dyDescent="0.3"/>
    <row r="44" spans="2:32" customFormat="1" ht="15" customHeight="1" x14ac:dyDescent="0.3"/>
    <row r="45" spans="2:32" customFormat="1" x14ac:dyDescent="0.3"/>
    <row r="46" spans="2:32" customFormat="1" x14ac:dyDescent="0.3"/>
    <row r="47" spans="2:32" customFormat="1" x14ac:dyDescent="0.3"/>
    <row r="48" spans="2:32"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sheetData>
  <mergeCells count="2">
    <mergeCell ref="B4:G4"/>
    <mergeCell ref="H4:L4"/>
  </mergeCells>
  <conditionalFormatting sqref="C9:U11">
    <cfRule type="expression" dxfId="6" priority="13">
      <formula>C$29&gt;1</formula>
    </cfRule>
  </conditionalFormatting>
  <conditionalFormatting sqref="C22:U24">
    <cfRule type="expression" dxfId="5" priority="7">
      <formula>C$29&gt;1</formula>
    </cfRule>
  </conditionalFormatting>
  <conditionalFormatting sqref="C35:U37">
    <cfRule type="expression" dxfId="4" priority="6">
      <formula>C$29&gt;1</formula>
    </cfRule>
  </conditionalFormatting>
  <conditionalFormatting sqref="C26:U26">
    <cfRule type="expression" dxfId="3" priority="2">
      <formula>C$29&gt;1</formula>
    </cfRule>
  </conditionalFormatting>
  <conditionalFormatting sqref="C13:U13">
    <cfRule type="expression" dxfId="2" priority="3">
      <formula>C$29&gt;1</formula>
    </cfRule>
  </conditionalFormatting>
  <conditionalFormatting sqref="C39:U39">
    <cfRule type="expression" dxfId="1" priority="1">
      <formula>C$29&gt;1</formula>
    </cfRule>
  </conditionalFormatting>
  <dataValidations count="1">
    <dataValidation type="list" allowBlank="1" showInputMessage="1" showErrorMessage="1" sqref="H4" xr:uid="{3AE065E5-38DA-4B27-A50E-CBE025053DE0}">
      <formula1>$AC$7:$AC$9</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C00000"/>
  </sheetPr>
  <dimension ref="A1:AG201"/>
  <sheetViews>
    <sheetView workbookViewId="0">
      <pane xSplit="2" ySplit="2" topLeftCell="AE144" activePane="bottomRight" state="frozen"/>
      <selection pane="topRight" activeCell="C1" sqref="C1"/>
      <selection pane="bottomLeft" activeCell="A3" sqref="A3"/>
      <selection pane="bottomRight" activeCell="A160" sqref="A160:XFD160"/>
    </sheetView>
  </sheetViews>
  <sheetFormatPr defaultColWidth="9.109375" defaultRowHeight="14.4" x14ac:dyDescent="0.3"/>
  <cols>
    <col min="1" max="2" width="27" style="196" customWidth="1"/>
    <col min="3" max="4" width="13.44140625" style="11" customWidth="1"/>
    <col min="5" max="5" width="13.44140625" style="3" customWidth="1"/>
    <col min="6" max="33" width="13.44140625" style="11" customWidth="1"/>
    <col min="34" max="16384" width="9.109375" style="11"/>
  </cols>
  <sheetData>
    <row r="1" spans="1:33" x14ac:dyDescent="0.3">
      <c r="A1" s="30" t="s">
        <v>871</v>
      </c>
      <c r="B1" s="30"/>
      <c r="E1" s="11"/>
    </row>
    <row r="2" spans="1:33" s="630" customFormat="1" x14ac:dyDescent="0.3">
      <c r="A2" s="627"/>
      <c r="B2" s="627"/>
      <c r="C2" s="628">
        <v>2000</v>
      </c>
      <c r="D2" s="629">
        <v>2001</v>
      </c>
      <c r="E2" s="628">
        <v>2002</v>
      </c>
      <c r="F2" s="629">
        <v>2003</v>
      </c>
      <c r="G2" s="628">
        <v>2004</v>
      </c>
      <c r="H2" s="629">
        <v>2005</v>
      </c>
      <c r="I2" s="628">
        <v>2006</v>
      </c>
      <c r="J2" s="629">
        <v>2007</v>
      </c>
      <c r="K2" s="628">
        <v>2008</v>
      </c>
      <c r="L2" s="629">
        <v>2009</v>
      </c>
      <c r="M2" s="628">
        <v>2010</v>
      </c>
      <c r="N2" s="629">
        <v>2011</v>
      </c>
      <c r="O2" s="628">
        <v>2012</v>
      </c>
      <c r="P2" s="629">
        <v>2013</v>
      </c>
      <c r="Q2" s="628">
        <v>2014</v>
      </c>
      <c r="R2" s="629">
        <v>2015</v>
      </c>
      <c r="S2" s="628">
        <v>2016</v>
      </c>
      <c r="T2" s="629">
        <v>2017</v>
      </c>
      <c r="U2" s="628">
        <v>2018</v>
      </c>
      <c r="V2" s="629">
        <v>2019</v>
      </c>
      <c r="W2" s="628">
        <v>2020</v>
      </c>
      <c r="X2" s="629">
        <v>2021</v>
      </c>
      <c r="Y2" s="628">
        <v>2022</v>
      </c>
      <c r="Z2" s="629">
        <v>2023</v>
      </c>
      <c r="AA2" s="628">
        <v>2024</v>
      </c>
      <c r="AB2" s="629">
        <v>2025</v>
      </c>
      <c r="AC2" s="628">
        <v>2026</v>
      </c>
      <c r="AD2" s="629">
        <v>2027</v>
      </c>
      <c r="AE2" s="628">
        <v>2028</v>
      </c>
      <c r="AF2" s="629">
        <v>2029</v>
      </c>
      <c r="AG2" s="628">
        <v>2030</v>
      </c>
    </row>
    <row r="3" spans="1:33" x14ac:dyDescent="0.3">
      <c r="A3" s="370" t="s">
        <v>54</v>
      </c>
      <c r="B3" s="370" t="s">
        <v>54</v>
      </c>
      <c r="C3" s="56">
        <v>4276671</v>
      </c>
      <c r="D3" s="56">
        <v>4449855</v>
      </c>
      <c r="E3" s="56">
        <v>4666958.0000000019</v>
      </c>
      <c r="F3" s="56">
        <v>4910121.0000000019</v>
      </c>
      <c r="G3" s="56">
        <v>5154970.9999999991</v>
      </c>
      <c r="H3" s="56">
        <v>5385962</v>
      </c>
      <c r="I3" s="56">
        <v>5547078</v>
      </c>
      <c r="J3" s="56">
        <v>5686322.9999999991</v>
      </c>
      <c r="K3" s="56">
        <v>5819802.0000000009</v>
      </c>
      <c r="L3" s="56">
        <v>5970183</v>
      </c>
      <c r="M3" s="56">
        <v>6152743.9999999981</v>
      </c>
      <c r="N3" s="56">
        <v>6409956.9999999972</v>
      </c>
      <c r="O3" s="56">
        <v>6709588.9999999991</v>
      </c>
      <c r="P3" s="56">
        <v>7039198.9999999991</v>
      </c>
      <c r="Q3" s="56">
        <v>7379743.9999999991</v>
      </c>
      <c r="R3" s="56">
        <v>7717837.9999999991</v>
      </c>
      <c r="S3" s="56">
        <v>8029303.9999999981</v>
      </c>
      <c r="T3" s="56">
        <v>8330071</v>
      </c>
      <c r="U3" s="56">
        <v>8626589.0000000019</v>
      </c>
      <c r="V3" s="56">
        <v>8929462</v>
      </c>
      <c r="W3" s="56">
        <v>9244870.9999999981</v>
      </c>
      <c r="X3" s="56">
        <v>9567677.0000000037</v>
      </c>
      <c r="Y3" s="56">
        <v>9901753.0000000037</v>
      </c>
      <c r="Z3" s="56">
        <v>10242297.999999996</v>
      </c>
      <c r="AA3" s="56">
        <v>10581489</v>
      </c>
      <c r="AB3" s="56">
        <v>10914796</v>
      </c>
      <c r="AC3" s="56">
        <v>11244649.000000002</v>
      </c>
      <c r="AD3" s="56">
        <v>11568896</v>
      </c>
      <c r="AE3" s="56">
        <v>11887725.999999998</v>
      </c>
      <c r="AF3" s="56">
        <v>12202727.999999998</v>
      </c>
      <c r="AG3" s="56">
        <v>12514998.000000004</v>
      </c>
    </row>
    <row r="4" spans="1:33" x14ac:dyDescent="0.3">
      <c r="A4" s="369" t="s">
        <v>160</v>
      </c>
      <c r="B4" s="370" t="s">
        <v>160</v>
      </c>
      <c r="C4" s="56">
        <v>800212.99999999988</v>
      </c>
      <c r="D4" s="56">
        <v>802313.00000000035</v>
      </c>
      <c r="E4" s="56">
        <v>805629.00000000012</v>
      </c>
      <c r="F4" s="56">
        <v>808965.00000000023</v>
      </c>
      <c r="G4" s="56">
        <v>810515.00000000012</v>
      </c>
      <c r="H4" s="56">
        <v>809115.99999999965</v>
      </c>
      <c r="I4" s="56">
        <v>803023.99999999988</v>
      </c>
      <c r="J4" s="56">
        <v>792431</v>
      </c>
      <c r="K4" s="56">
        <v>778670.99999999977</v>
      </c>
      <c r="L4" s="56">
        <v>763336</v>
      </c>
      <c r="M4" s="56">
        <v>747610.00000000012</v>
      </c>
      <c r="N4" s="56">
        <v>738356.99999999988</v>
      </c>
      <c r="O4" s="56">
        <v>728479.99999999988</v>
      </c>
      <c r="P4" s="56">
        <v>717978.99999999988</v>
      </c>
      <c r="Q4" s="56">
        <v>707055.99999999988</v>
      </c>
      <c r="R4" s="56">
        <v>695945</v>
      </c>
      <c r="S4" s="56">
        <v>688562</v>
      </c>
      <c r="T4" s="56">
        <v>682825.99999999977</v>
      </c>
      <c r="U4" s="56">
        <v>677588</v>
      </c>
      <c r="V4" s="56">
        <v>671440</v>
      </c>
      <c r="W4" s="56">
        <v>663707.99999999988</v>
      </c>
      <c r="X4" s="56">
        <v>655920.99999999977</v>
      </c>
      <c r="Y4" s="56">
        <v>646363.00000000012</v>
      </c>
      <c r="Z4" s="56">
        <v>636027.99999999988</v>
      </c>
      <c r="AA4" s="56">
        <v>626428.00000000012</v>
      </c>
      <c r="AB4" s="56">
        <v>618403.00000000012</v>
      </c>
      <c r="AC4" s="56">
        <v>612592.99999999988</v>
      </c>
      <c r="AD4" s="56">
        <v>608070</v>
      </c>
      <c r="AE4" s="56">
        <v>604611.00000000012</v>
      </c>
      <c r="AF4" s="56">
        <v>601647.99999999988</v>
      </c>
      <c r="AG4" s="56">
        <v>598775.00000000012</v>
      </c>
    </row>
    <row r="5" spans="1:33" x14ac:dyDescent="0.3">
      <c r="A5" s="369" t="s">
        <v>293</v>
      </c>
      <c r="B5" s="370" t="s">
        <v>293</v>
      </c>
      <c r="C5" s="56">
        <v>8292509.0000000019</v>
      </c>
      <c r="D5" s="56">
        <v>8537448.9999999981</v>
      </c>
      <c r="E5" s="56">
        <v>8764449.9999999963</v>
      </c>
      <c r="F5" s="56">
        <v>8979505.9999999981</v>
      </c>
      <c r="G5" s="56">
        <v>9190051.0000000019</v>
      </c>
      <c r="H5" s="56">
        <v>9397643</v>
      </c>
      <c r="I5" s="56">
        <v>9589368</v>
      </c>
      <c r="J5" s="56">
        <v>9771050.0000000019</v>
      </c>
      <c r="K5" s="56">
        <v>9940900.9999999981</v>
      </c>
      <c r="L5" s="56">
        <v>10096195.999999998</v>
      </c>
      <c r="M5" s="56">
        <v>10234790</v>
      </c>
      <c r="N5" s="56">
        <v>10343185</v>
      </c>
      <c r="O5" s="56">
        <v>10448881.000000002</v>
      </c>
      <c r="P5" s="56">
        <v>10544951</v>
      </c>
      <c r="Q5" s="56">
        <v>10624942.999999998</v>
      </c>
      <c r="R5" s="56">
        <v>10688708</v>
      </c>
      <c r="S5" s="56">
        <v>10760788</v>
      </c>
      <c r="T5" s="56">
        <v>10816151.999999998</v>
      </c>
      <c r="U5" s="56">
        <v>10864092</v>
      </c>
      <c r="V5" s="56">
        <v>10920580.000000002</v>
      </c>
      <c r="W5" s="56">
        <v>10994786.000000002</v>
      </c>
      <c r="X5" s="56">
        <v>11081389.000000002</v>
      </c>
      <c r="Y5" s="56">
        <v>11190330.999999994</v>
      </c>
      <c r="Z5" s="56">
        <v>11315878.999999998</v>
      </c>
      <c r="AA5" s="56">
        <v>11445877.999999998</v>
      </c>
      <c r="AB5" s="56">
        <v>11573642</v>
      </c>
      <c r="AC5" s="56">
        <v>11723349</v>
      </c>
      <c r="AD5" s="56">
        <v>11863566</v>
      </c>
      <c r="AE5" s="56">
        <v>11999508</v>
      </c>
      <c r="AF5" s="56">
        <v>12138153.999999998</v>
      </c>
      <c r="AG5" s="56">
        <v>12280886</v>
      </c>
    </row>
    <row r="6" spans="1:33" x14ac:dyDescent="0.3">
      <c r="A6" s="369" t="s">
        <v>291</v>
      </c>
      <c r="B6" s="370" t="s">
        <v>291</v>
      </c>
      <c r="C6" s="56">
        <v>3616376</v>
      </c>
      <c r="D6" s="56">
        <v>3756142</v>
      </c>
      <c r="E6" s="56">
        <v>3905979.0000000005</v>
      </c>
      <c r="F6" s="56">
        <v>4064935</v>
      </c>
      <c r="G6" s="56">
        <v>4231264</v>
      </c>
      <c r="H6" s="56">
        <v>4403626</v>
      </c>
      <c r="I6" s="56">
        <v>4573854</v>
      </c>
      <c r="J6" s="56">
        <v>4752177</v>
      </c>
      <c r="K6" s="56">
        <v>4936906</v>
      </c>
      <c r="L6" s="56">
        <v>5127029</v>
      </c>
      <c r="M6" s="56">
        <v>5322326.9999999991</v>
      </c>
      <c r="N6" s="56">
        <v>5510373.0000000019</v>
      </c>
      <c r="O6" s="56">
        <v>5706813.9999999991</v>
      </c>
      <c r="P6" s="56">
        <v>5911592.0000000028</v>
      </c>
      <c r="Q6" s="56">
        <v>6125425.9999999991</v>
      </c>
      <c r="R6" s="56">
        <v>6349429</v>
      </c>
      <c r="S6" s="56">
        <v>6579972</v>
      </c>
      <c r="T6" s="56">
        <v>6821215.9999999981</v>
      </c>
      <c r="U6" s="56">
        <v>7073135.9999999981</v>
      </c>
      <c r="V6" s="56">
        <v>7335458.0000000009</v>
      </c>
      <c r="W6" s="56">
        <v>7607861</v>
      </c>
      <c r="X6" s="56">
        <v>7888460.0000000009</v>
      </c>
      <c r="Y6" s="56">
        <v>8177883</v>
      </c>
      <c r="Z6" s="56">
        <v>8477365.9999999981</v>
      </c>
      <c r="AA6" s="56">
        <v>8788138</v>
      </c>
      <c r="AB6" s="56">
        <v>9110353.9999999981</v>
      </c>
      <c r="AC6" s="56">
        <v>9436235.9999999981</v>
      </c>
      <c r="AD6" s="56">
        <v>9774815.0000000019</v>
      </c>
      <c r="AE6" s="56">
        <v>10123572.999999998</v>
      </c>
      <c r="AF6" s="56">
        <v>10479028.000000006</v>
      </c>
      <c r="AG6" s="56">
        <v>10839210.000000002</v>
      </c>
    </row>
    <row r="7" spans="1:33" x14ac:dyDescent="0.3">
      <c r="A7" s="369" t="s">
        <v>365</v>
      </c>
      <c r="B7" s="370" t="s">
        <v>365</v>
      </c>
      <c r="C7" s="56">
        <v>22692.999999999996</v>
      </c>
      <c r="D7" s="56">
        <v>23067</v>
      </c>
      <c r="E7" s="56">
        <v>23356</v>
      </c>
      <c r="F7" s="56">
        <v>23577.999999999996</v>
      </c>
      <c r="G7" s="56">
        <v>23786</v>
      </c>
      <c r="H7" s="56">
        <v>24011.000000000004</v>
      </c>
      <c r="I7" s="56">
        <v>24309.999999999996</v>
      </c>
      <c r="J7" s="56">
        <v>24624</v>
      </c>
      <c r="K7" s="56">
        <v>24945.000000000004</v>
      </c>
      <c r="L7" s="56">
        <v>25246.000000000004</v>
      </c>
      <c r="M7" s="56">
        <v>25512</v>
      </c>
      <c r="N7" s="56">
        <v>25689</v>
      </c>
      <c r="O7" s="56">
        <v>25852.999999999996</v>
      </c>
      <c r="P7" s="56">
        <v>25987.999999999996</v>
      </c>
      <c r="Q7" s="56">
        <v>26084</v>
      </c>
      <c r="R7" s="56">
        <v>26132</v>
      </c>
      <c r="S7" s="56">
        <v>26112</v>
      </c>
      <c r="T7" s="56">
        <v>26066.999999999996</v>
      </c>
      <c r="U7" s="56">
        <v>26003.999999999996</v>
      </c>
      <c r="V7" s="56">
        <v>25912.000000000004</v>
      </c>
      <c r="W7" s="56">
        <v>25807.999999999996</v>
      </c>
      <c r="X7" s="56">
        <v>25708</v>
      </c>
      <c r="Y7" s="56">
        <v>25598</v>
      </c>
      <c r="Z7" s="56">
        <v>25487.999999999993</v>
      </c>
      <c r="AA7" s="56">
        <v>25384</v>
      </c>
      <c r="AB7" s="56">
        <v>25291.999999999996</v>
      </c>
      <c r="AC7" s="56">
        <v>25233.999999999996</v>
      </c>
      <c r="AD7" s="56">
        <v>25185</v>
      </c>
      <c r="AE7" s="56">
        <v>25146</v>
      </c>
      <c r="AF7" s="56">
        <v>25117.000000000011</v>
      </c>
      <c r="AG7" s="56">
        <v>25077.000000000004</v>
      </c>
    </row>
    <row r="8" spans="1:33" x14ac:dyDescent="0.3">
      <c r="A8" s="369" t="s">
        <v>383</v>
      </c>
      <c r="B8" s="370" t="s">
        <v>383</v>
      </c>
      <c r="C8" s="56">
        <v>9236915.0000000019</v>
      </c>
      <c r="D8" s="56">
        <v>9356696.0000000019</v>
      </c>
      <c r="E8" s="56">
        <v>9469091</v>
      </c>
      <c r="F8" s="56">
        <v>9577316.9999999981</v>
      </c>
      <c r="G8" s="56">
        <v>9685702.0000000019</v>
      </c>
      <c r="H8" s="56">
        <v>9796331.9999999981</v>
      </c>
      <c r="I8" s="56">
        <v>9904203.0000000019</v>
      </c>
      <c r="J8" s="56">
        <v>10018453.000000002</v>
      </c>
      <c r="K8" s="56">
        <v>10135439</v>
      </c>
      <c r="L8" s="56">
        <v>10248904.000000004</v>
      </c>
      <c r="M8" s="56">
        <v>10355484.000000002</v>
      </c>
      <c r="N8" s="56">
        <v>10467902.999999998</v>
      </c>
      <c r="O8" s="56">
        <v>10573206.000000004</v>
      </c>
      <c r="P8" s="56">
        <v>10673374.999999998</v>
      </c>
      <c r="Q8" s="56">
        <v>10772903</v>
      </c>
      <c r="R8" s="56">
        <v>10873899.999999998</v>
      </c>
      <c r="S8" s="56">
        <v>10973750.999999996</v>
      </c>
      <c r="T8" s="56">
        <v>11075891.000000002</v>
      </c>
      <c r="U8" s="56">
        <v>11177462.000000004</v>
      </c>
      <c r="V8" s="56">
        <v>11274035</v>
      </c>
      <c r="W8" s="56">
        <v>11363015.000000002</v>
      </c>
      <c r="X8" s="56">
        <v>11450800.000000004</v>
      </c>
      <c r="Y8" s="56">
        <v>11532355</v>
      </c>
      <c r="Z8" s="56">
        <v>11606965.999999998</v>
      </c>
      <c r="AA8" s="56">
        <v>11673882.999999998</v>
      </c>
      <c r="AB8" s="56">
        <v>11732468</v>
      </c>
      <c r="AC8" s="56">
        <v>11787605</v>
      </c>
      <c r="AD8" s="56">
        <v>11834060.000000002</v>
      </c>
      <c r="AE8" s="56">
        <v>11875027.000000004</v>
      </c>
      <c r="AF8" s="56">
        <v>11915376.999999998</v>
      </c>
      <c r="AG8" s="56">
        <v>11957901</v>
      </c>
    </row>
    <row r="9" spans="1:33" x14ac:dyDescent="0.3">
      <c r="A9" s="369" t="s">
        <v>161</v>
      </c>
      <c r="B9" s="370" t="s">
        <v>161</v>
      </c>
      <c r="C9" s="56">
        <v>862707.99999999988</v>
      </c>
      <c r="D9" s="56">
        <v>866513.00000000012</v>
      </c>
      <c r="E9" s="56">
        <v>868649.99999999977</v>
      </c>
      <c r="F9" s="56">
        <v>869079.00000000012</v>
      </c>
      <c r="G9" s="56">
        <v>867590.99999999977</v>
      </c>
      <c r="H9" s="56">
        <v>863906.99999999988</v>
      </c>
      <c r="I9" s="56">
        <v>855870.99999999988</v>
      </c>
      <c r="J9" s="56">
        <v>846322.99999999988</v>
      </c>
      <c r="K9" s="56">
        <v>835738.99999999988</v>
      </c>
      <c r="L9" s="56">
        <v>824866</v>
      </c>
      <c r="M9" s="56">
        <v>814385.99999999988</v>
      </c>
      <c r="N9" s="56">
        <v>804334.99999999977</v>
      </c>
      <c r="O9" s="56">
        <v>794832.99999999988</v>
      </c>
      <c r="P9" s="56">
        <v>785734</v>
      </c>
      <c r="Q9" s="56">
        <v>777281.99999999988</v>
      </c>
      <c r="R9" s="56">
        <v>769700.00000000012</v>
      </c>
      <c r="S9" s="56">
        <v>763385.00000000023</v>
      </c>
      <c r="T9" s="56">
        <v>757874.00000000012</v>
      </c>
      <c r="U9" s="56">
        <v>753248</v>
      </c>
      <c r="V9" s="56">
        <v>749473.99999999988</v>
      </c>
      <c r="W9" s="56">
        <v>746482</v>
      </c>
      <c r="X9" s="56">
        <v>744499.99999999988</v>
      </c>
      <c r="Y9" s="56">
        <v>743179</v>
      </c>
      <c r="Z9" s="56">
        <v>742334.00000000012</v>
      </c>
      <c r="AA9" s="56">
        <v>741564.99999999988</v>
      </c>
      <c r="AB9" s="56">
        <v>740562.00000000012</v>
      </c>
      <c r="AC9" s="56">
        <v>739593.00000000012</v>
      </c>
      <c r="AD9" s="56">
        <v>738168.99999999988</v>
      </c>
      <c r="AE9" s="56">
        <v>736030.99999999988</v>
      </c>
      <c r="AF9" s="56">
        <v>732883</v>
      </c>
      <c r="AG9" s="56">
        <v>728506.00000000012</v>
      </c>
    </row>
    <row r="10" spans="1:33" x14ac:dyDescent="0.3">
      <c r="A10" s="369" t="s">
        <v>366</v>
      </c>
      <c r="B10" s="370" t="s">
        <v>366</v>
      </c>
      <c r="C10" s="56">
        <v>25801.000000000004</v>
      </c>
      <c r="D10" s="56">
        <v>26385.999999999996</v>
      </c>
      <c r="E10" s="56">
        <v>26981.999999999996</v>
      </c>
      <c r="F10" s="56">
        <v>27534.000000000004</v>
      </c>
      <c r="G10" s="56">
        <v>27970.999999999996</v>
      </c>
      <c r="H10" s="56">
        <v>28233.000000000004</v>
      </c>
      <c r="I10" s="56">
        <v>28023.000000000007</v>
      </c>
      <c r="J10" s="56">
        <v>27602.999999999993</v>
      </c>
      <c r="K10" s="56">
        <v>27056.999999999996</v>
      </c>
      <c r="L10" s="56">
        <v>26480</v>
      </c>
      <c r="M10" s="56">
        <v>25930</v>
      </c>
      <c r="N10" s="56">
        <v>25680.000000000004</v>
      </c>
      <c r="O10" s="56">
        <v>25485.999999999996</v>
      </c>
      <c r="P10" s="56">
        <v>25330.000000000004</v>
      </c>
      <c r="Q10" s="56">
        <v>25192</v>
      </c>
      <c r="R10" s="56">
        <v>25052</v>
      </c>
      <c r="S10" s="56">
        <v>24953.000000000007</v>
      </c>
      <c r="T10" s="56">
        <v>24830</v>
      </c>
      <c r="U10" s="56">
        <v>24703.000000000007</v>
      </c>
      <c r="V10" s="56">
        <v>24589.000000000007</v>
      </c>
      <c r="W10" s="56">
        <v>24503.999999999993</v>
      </c>
      <c r="X10" s="56">
        <v>24391</v>
      </c>
      <c r="Y10" s="56">
        <v>24323.999999999996</v>
      </c>
      <c r="Z10" s="56">
        <v>24276</v>
      </c>
      <c r="AA10" s="56">
        <v>24199</v>
      </c>
      <c r="AB10" s="56">
        <v>24084.999999999996</v>
      </c>
      <c r="AC10" s="56">
        <v>23976.000000000004</v>
      </c>
      <c r="AD10" s="56">
        <v>23828</v>
      </c>
      <c r="AE10" s="56">
        <v>23662.999999999996</v>
      </c>
      <c r="AF10" s="56">
        <v>23517</v>
      </c>
      <c r="AG10" s="56">
        <v>23409.999999999996</v>
      </c>
    </row>
    <row r="11" spans="1:33" x14ac:dyDescent="0.3">
      <c r="A11" s="369" t="s">
        <v>394</v>
      </c>
      <c r="B11" s="370" t="s">
        <v>394</v>
      </c>
      <c r="C11" s="56">
        <v>4829752</v>
      </c>
      <c r="D11" s="56">
        <v>4858661.9999999991</v>
      </c>
      <c r="E11" s="56">
        <v>4890519</v>
      </c>
      <c r="F11" s="56">
        <v>4926759.9999999991</v>
      </c>
      <c r="G11" s="56">
        <v>4968958.0000000009</v>
      </c>
      <c r="H11" s="56">
        <v>5017403</v>
      </c>
      <c r="I11" s="56">
        <v>5097581.0000000009</v>
      </c>
      <c r="J11" s="56">
        <v>5184228</v>
      </c>
      <c r="K11" s="56">
        <v>5271989</v>
      </c>
      <c r="L11" s="56">
        <v>5356504.9999999991</v>
      </c>
      <c r="M11" s="56">
        <v>5435653</v>
      </c>
      <c r="N11" s="56">
        <v>5500678.0000000019</v>
      </c>
      <c r="O11" s="56">
        <v>5565870.0000000009</v>
      </c>
      <c r="P11" s="56">
        <v>5629466</v>
      </c>
      <c r="Q11" s="56">
        <v>5689746.9999999991</v>
      </c>
      <c r="R11" s="56">
        <v>5745738</v>
      </c>
      <c r="S11" s="56">
        <v>5784619.9999999972</v>
      </c>
      <c r="T11" s="56">
        <v>5819394.0000000009</v>
      </c>
      <c r="U11" s="56">
        <v>5851880</v>
      </c>
      <c r="V11" s="56">
        <v>5884512.0000000009</v>
      </c>
      <c r="W11" s="56">
        <v>5918282.0000000009</v>
      </c>
      <c r="X11" s="56">
        <v>5946494</v>
      </c>
      <c r="Y11" s="56">
        <v>5977456.9999999991</v>
      </c>
      <c r="Z11" s="56">
        <v>6011425</v>
      </c>
      <c r="AA11" s="56">
        <v>6048370</v>
      </c>
      <c r="AB11" s="56">
        <v>6088267</v>
      </c>
      <c r="AC11" s="56">
        <v>6135737.0000000019</v>
      </c>
      <c r="AD11" s="56">
        <v>6186638.9999999981</v>
      </c>
      <c r="AE11" s="56">
        <v>6238922.0000000009</v>
      </c>
      <c r="AF11" s="56">
        <v>6289498.0000000009</v>
      </c>
      <c r="AG11" s="56">
        <v>6335713</v>
      </c>
    </row>
    <row r="12" spans="1:33" x14ac:dyDescent="0.3">
      <c r="A12" s="369" t="s">
        <v>357</v>
      </c>
      <c r="B12" s="370" t="s">
        <v>357</v>
      </c>
      <c r="C12" s="56">
        <v>1997365.9999999998</v>
      </c>
      <c r="D12" s="56">
        <v>2007270.0000000007</v>
      </c>
      <c r="E12" s="56">
        <v>2018354</v>
      </c>
      <c r="F12" s="56">
        <v>2029529.0000000005</v>
      </c>
      <c r="G12" s="56">
        <v>2039806</v>
      </c>
      <c r="H12" s="56">
        <v>2048186.0000000002</v>
      </c>
      <c r="I12" s="56">
        <v>2051246</v>
      </c>
      <c r="J12" s="56">
        <v>2052442</v>
      </c>
      <c r="K12" s="56">
        <v>2051570.0000000002</v>
      </c>
      <c r="L12" s="56">
        <v>2048293.9999999998</v>
      </c>
      <c r="M12" s="56">
        <v>2042601</v>
      </c>
      <c r="N12" s="56">
        <v>2037475.0000000005</v>
      </c>
      <c r="O12" s="56">
        <v>2030570.9999999995</v>
      </c>
      <c r="P12" s="56">
        <v>2021807.0000000002</v>
      </c>
      <c r="Q12" s="56">
        <v>2011806.0000000002</v>
      </c>
      <c r="R12" s="56">
        <v>2001091.0000000002</v>
      </c>
      <c r="S12" s="56">
        <v>1992623</v>
      </c>
      <c r="T12" s="56">
        <v>1984311.0000000002</v>
      </c>
      <c r="U12" s="56">
        <v>1976156.9999999998</v>
      </c>
      <c r="V12" s="56">
        <v>1968225.9999999998</v>
      </c>
      <c r="W12" s="56">
        <v>1960407.9999999995</v>
      </c>
      <c r="X12" s="56">
        <v>1946347.0000000002</v>
      </c>
      <c r="Y12" s="56">
        <v>1932691.9999999998</v>
      </c>
      <c r="Z12" s="56">
        <v>1919531</v>
      </c>
      <c r="AA12" s="56">
        <v>1907003</v>
      </c>
      <c r="AB12" s="56">
        <v>1895338.0000000002</v>
      </c>
      <c r="AC12" s="56">
        <v>1887099</v>
      </c>
      <c r="AD12" s="56">
        <v>1880156.0000000002</v>
      </c>
      <c r="AE12" s="56">
        <v>1873654.9999999998</v>
      </c>
      <c r="AF12" s="56">
        <v>1866421</v>
      </c>
      <c r="AG12" s="56">
        <v>1857661.9999999998</v>
      </c>
    </row>
    <row r="13" spans="1:33" x14ac:dyDescent="0.3">
      <c r="A13" s="369" t="s">
        <v>162</v>
      </c>
      <c r="B13" s="370" t="s">
        <v>162</v>
      </c>
      <c r="C13" s="56">
        <v>2281454</v>
      </c>
      <c r="D13" s="56">
        <v>2335010</v>
      </c>
      <c r="E13" s="56">
        <v>2386996.9999999995</v>
      </c>
      <c r="F13" s="56">
        <v>2438099.0000000005</v>
      </c>
      <c r="G13" s="56">
        <v>2488616.0000000005</v>
      </c>
      <c r="H13" s="56">
        <v>2537736.9999999991</v>
      </c>
      <c r="I13" s="56">
        <v>2577730</v>
      </c>
      <c r="J13" s="56">
        <v>2616399.9999999995</v>
      </c>
      <c r="K13" s="56">
        <v>2651225</v>
      </c>
      <c r="L13" s="56">
        <v>2678721.0000000005</v>
      </c>
      <c r="M13" s="56">
        <v>2697236.0000000005</v>
      </c>
      <c r="N13" s="56">
        <v>2704395.0000000005</v>
      </c>
      <c r="O13" s="56">
        <v>2702760</v>
      </c>
      <c r="P13" s="56">
        <v>2694180</v>
      </c>
      <c r="Q13" s="56">
        <v>2682918</v>
      </c>
      <c r="R13" s="56">
        <v>2671900</v>
      </c>
      <c r="S13" s="56">
        <v>2658125.9999999991</v>
      </c>
      <c r="T13" s="56">
        <v>2647786.9999999995</v>
      </c>
      <c r="U13" s="56">
        <v>2639434.0000000005</v>
      </c>
      <c r="V13" s="56">
        <v>2631017</v>
      </c>
      <c r="W13" s="56">
        <v>2622097</v>
      </c>
      <c r="X13" s="56">
        <v>2618730</v>
      </c>
      <c r="Y13" s="56">
        <v>2614114.0000000005</v>
      </c>
      <c r="Z13" s="56">
        <v>2610368</v>
      </c>
      <c r="AA13" s="56">
        <v>2610214.9999999991</v>
      </c>
      <c r="AB13" s="56">
        <v>2614604.0000000005</v>
      </c>
      <c r="AC13" s="56">
        <v>2624272</v>
      </c>
      <c r="AD13" s="56">
        <v>2636906</v>
      </c>
      <c r="AE13" s="56">
        <v>2650821.9999999991</v>
      </c>
      <c r="AF13" s="56">
        <v>2662730.0000000005</v>
      </c>
      <c r="AG13" s="56">
        <v>2670218</v>
      </c>
    </row>
    <row r="14" spans="1:33" x14ac:dyDescent="0.3">
      <c r="A14" s="369" t="s">
        <v>367</v>
      </c>
      <c r="B14" s="370" t="s">
        <v>367</v>
      </c>
      <c r="C14" s="56">
        <v>83714</v>
      </c>
      <c r="D14" s="56">
        <v>85319.999999999985</v>
      </c>
      <c r="E14" s="56">
        <v>86832.999999999985</v>
      </c>
      <c r="F14" s="56">
        <v>88306.999999999985</v>
      </c>
      <c r="G14" s="56">
        <v>89792</v>
      </c>
      <c r="H14" s="56">
        <v>91270</v>
      </c>
      <c r="I14" s="56">
        <v>93146</v>
      </c>
      <c r="J14" s="56">
        <v>94908</v>
      </c>
      <c r="K14" s="56">
        <v>96616</v>
      </c>
      <c r="L14" s="56">
        <v>98251.000000000015</v>
      </c>
      <c r="M14" s="56">
        <v>99742</v>
      </c>
      <c r="N14" s="56">
        <v>100750.99999999997</v>
      </c>
      <c r="O14" s="56">
        <v>101635.99999999997</v>
      </c>
      <c r="P14" s="56">
        <v>102453.99999999999</v>
      </c>
      <c r="Q14" s="56">
        <v>103224.99999999999</v>
      </c>
      <c r="R14" s="56">
        <v>103962</v>
      </c>
      <c r="S14" s="56">
        <v>104896</v>
      </c>
      <c r="T14" s="56">
        <v>105678.99999999999</v>
      </c>
      <c r="U14" s="56">
        <v>106349</v>
      </c>
      <c r="V14" s="56">
        <v>107002.00000000003</v>
      </c>
      <c r="W14" s="56">
        <v>107642.99999999999</v>
      </c>
      <c r="X14" s="56">
        <v>107998.00000000003</v>
      </c>
      <c r="Y14" s="56">
        <v>108444.99999999999</v>
      </c>
      <c r="Z14" s="56">
        <v>108899.99999999999</v>
      </c>
      <c r="AA14" s="56">
        <v>109243.00000000001</v>
      </c>
      <c r="AB14" s="56">
        <v>109419.00000000003</v>
      </c>
      <c r="AC14" s="56">
        <v>109609</v>
      </c>
      <c r="AD14" s="56">
        <v>109652.00000000001</v>
      </c>
      <c r="AE14" s="56">
        <v>109594</v>
      </c>
      <c r="AF14" s="56">
        <v>109530.00000000003</v>
      </c>
      <c r="AG14" s="56">
        <v>109500.00000000001</v>
      </c>
    </row>
    <row r="15" spans="1:33" x14ac:dyDescent="0.3">
      <c r="A15" s="369" t="s">
        <v>313</v>
      </c>
      <c r="B15" s="370" t="s">
        <v>313</v>
      </c>
      <c r="C15" s="56">
        <v>162463</v>
      </c>
      <c r="D15" s="56">
        <v>171253</v>
      </c>
      <c r="E15" s="56">
        <v>180337</v>
      </c>
      <c r="F15" s="56">
        <v>189954</v>
      </c>
      <c r="G15" s="56">
        <v>200523.00000000003</v>
      </c>
      <c r="H15" s="56">
        <v>212286.00000000006</v>
      </c>
      <c r="I15" s="56">
        <v>228254.99999999997</v>
      </c>
      <c r="J15" s="56">
        <v>245244</v>
      </c>
      <c r="K15" s="56">
        <v>262106.00000000006</v>
      </c>
      <c r="L15" s="56">
        <v>277506</v>
      </c>
      <c r="M15" s="56">
        <v>290516</v>
      </c>
      <c r="N15" s="56">
        <v>298485.99999999988</v>
      </c>
      <c r="O15" s="56">
        <v>304059.99999999994</v>
      </c>
      <c r="P15" s="56">
        <v>307841.00000000006</v>
      </c>
      <c r="Q15" s="56">
        <v>311114.99999999994</v>
      </c>
      <c r="R15" s="56">
        <v>315097</v>
      </c>
      <c r="S15" s="56">
        <v>321984.00000000006</v>
      </c>
      <c r="T15" s="56">
        <v>330082.99999999994</v>
      </c>
      <c r="U15" s="56">
        <v>339116.99999999994</v>
      </c>
      <c r="V15" s="56">
        <v>348371.00000000012</v>
      </c>
      <c r="W15" s="56">
        <v>357241.99999999988</v>
      </c>
      <c r="X15" s="56">
        <v>363261</v>
      </c>
      <c r="Y15" s="56">
        <v>368853.99999999994</v>
      </c>
      <c r="Z15" s="56">
        <v>373986.99999999994</v>
      </c>
      <c r="AA15" s="56">
        <v>378898.99999999994</v>
      </c>
      <c r="AB15" s="56">
        <v>383882.00000000012</v>
      </c>
      <c r="AC15" s="56">
        <v>389815.99999999994</v>
      </c>
      <c r="AD15" s="56">
        <v>395993</v>
      </c>
      <c r="AE15" s="56">
        <v>402242</v>
      </c>
      <c r="AF15" s="56">
        <v>408438.00000000006</v>
      </c>
      <c r="AG15" s="56">
        <v>414568.00000000012</v>
      </c>
    </row>
    <row r="16" spans="1:33" x14ac:dyDescent="0.3">
      <c r="A16" s="369" t="s">
        <v>30</v>
      </c>
      <c r="B16" s="370" t="s">
        <v>30</v>
      </c>
      <c r="C16" s="56">
        <v>31601711.000000004</v>
      </c>
      <c r="D16" s="56">
        <v>32545487</v>
      </c>
      <c r="E16" s="56">
        <v>33517261.999999996</v>
      </c>
      <c r="F16" s="56">
        <v>34494989</v>
      </c>
      <c r="G16" s="56">
        <v>35450560.999999993</v>
      </c>
      <c r="H16" s="56">
        <v>36368159</v>
      </c>
      <c r="I16" s="56">
        <v>37222278</v>
      </c>
      <c r="J16" s="56">
        <v>38041032.000000015</v>
      </c>
      <c r="K16" s="56">
        <v>38822740</v>
      </c>
      <c r="L16" s="56">
        <v>39569801.999999985</v>
      </c>
      <c r="M16" s="56">
        <v>40288457</v>
      </c>
      <c r="N16" s="56">
        <v>40996252.000000007</v>
      </c>
      <c r="O16" s="56">
        <v>41659151.000000015</v>
      </c>
      <c r="P16" s="56">
        <v>42286579.000000007</v>
      </c>
      <c r="Q16" s="56">
        <v>42893439.000000022</v>
      </c>
      <c r="R16" s="56">
        <v>43488026.999999985</v>
      </c>
      <c r="S16" s="56">
        <v>44077450.000000007</v>
      </c>
      <c r="T16" s="56">
        <v>44655386.999999993</v>
      </c>
      <c r="U16" s="56">
        <v>45211256.999999993</v>
      </c>
      <c r="V16" s="56">
        <v>45732681</v>
      </c>
      <c r="W16" s="56">
        <v>46215590.999999993</v>
      </c>
      <c r="X16" s="56">
        <v>46658861.999999993</v>
      </c>
      <c r="Y16" s="56">
        <v>47067551.999999993</v>
      </c>
      <c r="Z16" s="56">
        <v>47435382</v>
      </c>
      <c r="AA16" s="56">
        <v>47757987.000000007</v>
      </c>
      <c r="AB16" s="56">
        <v>48034845.000000015</v>
      </c>
      <c r="AC16" s="56">
        <v>48284176.000000007</v>
      </c>
      <c r="AD16" s="56">
        <v>48488758.000000015</v>
      </c>
      <c r="AE16" s="56">
        <v>48648979</v>
      </c>
      <c r="AF16" s="56">
        <v>48767348.000000007</v>
      </c>
      <c r="AG16" s="56">
        <v>48847811.999999985</v>
      </c>
    </row>
    <row r="17" spans="1:33" x14ac:dyDescent="0.3">
      <c r="A17" s="369" t="s">
        <v>368</v>
      </c>
      <c r="B17" s="370" t="s">
        <v>368</v>
      </c>
      <c r="C17" s="56">
        <v>73984.000000000015</v>
      </c>
      <c r="D17" s="56">
        <v>74078.000000000015</v>
      </c>
      <c r="E17" s="56">
        <v>74021.999999999985</v>
      </c>
      <c r="F17" s="56">
        <v>73846</v>
      </c>
      <c r="G17" s="56">
        <v>73610.999999999985</v>
      </c>
      <c r="H17" s="56">
        <v>73335.000000000015</v>
      </c>
      <c r="I17" s="56">
        <v>72977</v>
      </c>
      <c r="J17" s="56">
        <v>72596</v>
      </c>
      <c r="K17" s="56">
        <v>72164.999999999985</v>
      </c>
      <c r="L17" s="56">
        <v>71645</v>
      </c>
      <c r="M17" s="56">
        <v>71027</v>
      </c>
      <c r="N17" s="56">
        <v>70575</v>
      </c>
      <c r="O17" s="56">
        <v>70041</v>
      </c>
      <c r="P17" s="56">
        <v>69481.000000000015</v>
      </c>
      <c r="Q17" s="56">
        <v>68944</v>
      </c>
      <c r="R17" s="56">
        <v>68471</v>
      </c>
      <c r="S17" s="56">
        <v>68107</v>
      </c>
      <c r="T17" s="56">
        <v>67784</v>
      </c>
      <c r="U17" s="56">
        <v>67484.000000000015</v>
      </c>
      <c r="V17" s="56">
        <v>67159</v>
      </c>
      <c r="W17" s="56">
        <v>66783.999999999971</v>
      </c>
      <c r="X17" s="56">
        <v>66350</v>
      </c>
      <c r="Y17" s="56">
        <v>65886.999999999985</v>
      </c>
      <c r="Z17" s="56">
        <v>65412.000000000007</v>
      </c>
      <c r="AA17" s="56">
        <v>64911</v>
      </c>
      <c r="AB17" s="56">
        <v>64416.000000000015</v>
      </c>
      <c r="AC17" s="56">
        <v>63977.000000000007</v>
      </c>
      <c r="AD17" s="56">
        <v>63541</v>
      </c>
      <c r="AE17" s="56">
        <v>63092.999999999985</v>
      </c>
      <c r="AF17" s="56">
        <v>62620</v>
      </c>
      <c r="AG17" s="56">
        <v>62107</v>
      </c>
    </row>
    <row r="18" spans="1:33" x14ac:dyDescent="0.3">
      <c r="A18" s="369" t="s">
        <v>325</v>
      </c>
      <c r="B18" s="370" t="s">
        <v>325</v>
      </c>
      <c r="C18" s="56">
        <v>2603005.9999999995</v>
      </c>
      <c r="D18" s="56">
        <v>2603922.9999999995</v>
      </c>
      <c r="E18" s="56">
        <v>2602899</v>
      </c>
      <c r="F18" s="56">
        <v>2598705.0000000005</v>
      </c>
      <c r="G18" s="56">
        <v>2589192.9999999991</v>
      </c>
      <c r="H18" s="56">
        <v>2573542.0000000005</v>
      </c>
      <c r="I18" s="56">
        <v>2552098.9999999986</v>
      </c>
      <c r="J18" s="56">
        <v>2527051.0000000005</v>
      </c>
      <c r="K18" s="56">
        <v>2498902.0000000005</v>
      </c>
      <c r="L18" s="56">
        <v>2468881</v>
      </c>
      <c r="M18" s="56">
        <v>2437814.0000000005</v>
      </c>
      <c r="N18" s="56">
        <v>2403700</v>
      </c>
      <c r="O18" s="56">
        <v>2368750</v>
      </c>
      <c r="P18" s="56">
        <v>2333839.0000000009</v>
      </c>
      <c r="Q18" s="56">
        <v>2300582.9999999995</v>
      </c>
      <c r="R18" s="56">
        <v>2270010</v>
      </c>
      <c r="S18" s="56">
        <v>2239738.9999999995</v>
      </c>
      <c r="T18" s="56">
        <v>2214614.9999999995</v>
      </c>
      <c r="U18" s="56">
        <v>2194650</v>
      </c>
      <c r="V18" s="56">
        <v>2176505.0000000005</v>
      </c>
      <c r="W18" s="56">
        <v>2156772</v>
      </c>
      <c r="X18" s="56">
        <v>2139380.9999999995</v>
      </c>
      <c r="Y18" s="56">
        <v>2117384</v>
      </c>
      <c r="Z18" s="56">
        <v>2094087.9999999998</v>
      </c>
      <c r="AA18" s="56">
        <v>2073973</v>
      </c>
      <c r="AB18" s="56">
        <v>2059064.9999999995</v>
      </c>
      <c r="AC18" s="56">
        <v>2046232</v>
      </c>
      <c r="AD18" s="56">
        <v>2038149</v>
      </c>
      <c r="AE18" s="56">
        <v>2032644</v>
      </c>
      <c r="AF18" s="56">
        <v>2026252</v>
      </c>
      <c r="AG18" s="56">
        <v>2016900</v>
      </c>
    </row>
    <row r="19" spans="1:33" x14ac:dyDescent="0.3">
      <c r="A19" s="369" t="s">
        <v>358</v>
      </c>
      <c r="B19" s="370" t="s">
        <v>358</v>
      </c>
      <c r="C19" s="56">
        <v>2457970.0000000005</v>
      </c>
      <c r="D19" s="56">
        <v>2457084</v>
      </c>
      <c r="E19" s="56">
        <v>2458181.0000000005</v>
      </c>
      <c r="F19" s="56">
        <v>2460728</v>
      </c>
      <c r="G19" s="56">
        <v>2464095.0000000005</v>
      </c>
      <c r="H19" s="56">
        <v>2467704.9999999995</v>
      </c>
      <c r="I19" s="56">
        <v>2475468.9999999995</v>
      </c>
      <c r="J19" s="56">
        <v>2484268.0000000005</v>
      </c>
      <c r="K19" s="56">
        <v>2492967.9999999991</v>
      </c>
      <c r="L19" s="56">
        <v>2500254.0000000005</v>
      </c>
      <c r="M19" s="56">
        <v>2505377</v>
      </c>
      <c r="N19" s="56">
        <v>2509874.9999999995</v>
      </c>
      <c r="O19" s="56">
        <v>2513280.0000000005</v>
      </c>
      <c r="P19" s="56">
        <v>2515095</v>
      </c>
      <c r="Q19" s="56">
        <v>2515493.0000000005</v>
      </c>
      <c r="R19" s="56">
        <v>2515003.9999999995</v>
      </c>
      <c r="S19" s="56">
        <v>2508283.0000000005</v>
      </c>
      <c r="T19" s="56">
        <v>2500900</v>
      </c>
      <c r="U19" s="56">
        <v>2493637.9999999995</v>
      </c>
      <c r="V19" s="56">
        <v>2487337.9999999995</v>
      </c>
      <c r="W19" s="56">
        <v>2482279.9999999995</v>
      </c>
      <c r="X19" s="56">
        <v>2478332.9999999995</v>
      </c>
      <c r="Y19" s="56">
        <v>2475690</v>
      </c>
      <c r="Z19" s="56">
        <v>2474005</v>
      </c>
      <c r="AA19" s="56">
        <v>2472732</v>
      </c>
      <c r="AB19" s="56">
        <v>2471453.9999999995</v>
      </c>
      <c r="AC19" s="56">
        <v>2470920</v>
      </c>
      <c r="AD19" s="56">
        <v>2471249.0000000009</v>
      </c>
      <c r="AE19" s="56">
        <v>2471504.0000000005</v>
      </c>
      <c r="AF19" s="56">
        <v>2470474.0000000005</v>
      </c>
      <c r="AG19" s="56">
        <v>2467415.0000000005</v>
      </c>
    </row>
    <row r="20" spans="1:33" x14ac:dyDescent="0.3">
      <c r="A20" s="369" t="s">
        <v>379</v>
      </c>
      <c r="B20" s="370" t="s">
        <v>379</v>
      </c>
      <c r="C20" s="56">
        <v>60672.999999999985</v>
      </c>
      <c r="D20" s="56">
        <v>63194.999999999993</v>
      </c>
      <c r="E20" s="56">
        <v>65615.000000000015</v>
      </c>
      <c r="F20" s="56">
        <v>68022</v>
      </c>
      <c r="G20" s="56">
        <v>70548.999999999985</v>
      </c>
      <c r="H20" s="56">
        <v>73251</v>
      </c>
      <c r="I20" s="56">
        <v>75723.000000000029</v>
      </c>
      <c r="J20" s="56">
        <v>78229.999999999985</v>
      </c>
      <c r="K20" s="56">
        <v>80708</v>
      </c>
      <c r="L20" s="56">
        <v>83101.999999999971</v>
      </c>
      <c r="M20" s="56">
        <v>85387.000000000015</v>
      </c>
      <c r="N20" s="56">
        <v>88251.999999999971</v>
      </c>
      <c r="O20" s="56">
        <v>91023.999999999985</v>
      </c>
      <c r="P20" s="56">
        <v>93751.999999999985</v>
      </c>
      <c r="Q20" s="56">
        <v>96485.999999999956</v>
      </c>
      <c r="R20" s="56">
        <v>99237.000000000015</v>
      </c>
      <c r="S20" s="56">
        <v>101753.00000000001</v>
      </c>
      <c r="T20" s="56">
        <v>104327</v>
      </c>
      <c r="U20" s="56">
        <v>106874.00000000001</v>
      </c>
      <c r="V20" s="56">
        <v>109293.99999999997</v>
      </c>
      <c r="W20" s="56">
        <v>111524.99999999997</v>
      </c>
      <c r="X20" s="56">
        <v>113644</v>
      </c>
      <c r="Y20" s="56">
        <v>115568.00000000001</v>
      </c>
      <c r="Z20" s="56">
        <v>117353.99999999999</v>
      </c>
      <c r="AA20" s="56">
        <v>119115.00000000001</v>
      </c>
      <c r="AB20" s="56">
        <v>120898</v>
      </c>
      <c r="AC20" s="56">
        <v>122629</v>
      </c>
      <c r="AD20" s="56">
        <v>124403</v>
      </c>
      <c r="AE20" s="56">
        <v>126163.00000000003</v>
      </c>
      <c r="AF20" s="56">
        <v>127832.00000000003</v>
      </c>
      <c r="AG20" s="56">
        <v>129368.99999999997</v>
      </c>
    </row>
    <row r="21" spans="1:33" x14ac:dyDescent="0.3">
      <c r="A21" s="369" t="s">
        <v>55</v>
      </c>
      <c r="B21" s="370" t="s">
        <v>55</v>
      </c>
      <c r="C21" s="56">
        <v>1561222.9999999998</v>
      </c>
      <c r="D21" s="56">
        <v>1611444.9999999995</v>
      </c>
      <c r="E21" s="56">
        <v>1664810</v>
      </c>
      <c r="F21" s="56">
        <v>1720876</v>
      </c>
      <c r="G21" s="56">
        <v>1779043.9999999998</v>
      </c>
      <c r="H21" s="56">
        <v>1838881.9999999995</v>
      </c>
      <c r="I21" s="56">
        <v>1895682</v>
      </c>
      <c r="J21" s="56">
        <v>1954398.0000000002</v>
      </c>
      <c r="K21" s="56">
        <v>2015035.9999999991</v>
      </c>
      <c r="L21" s="56">
        <v>2077670.0000000005</v>
      </c>
      <c r="M21" s="56">
        <v>2142346.9999999995</v>
      </c>
      <c r="N21" s="56">
        <v>2205439</v>
      </c>
      <c r="O21" s="56">
        <v>2271230.9999999995</v>
      </c>
      <c r="P21" s="56">
        <v>2339554</v>
      </c>
      <c r="Q21" s="56">
        <v>2410238</v>
      </c>
      <c r="R21" s="56">
        <v>2483261</v>
      </c>
      <c r="S21" s="56">
        <v>2557665</v>
      </c>
      <c r="T21" s="56">
        <v>2635018.9999999995</v>
      </c>
      <c r="U21" s="56">
        <v>2715167.9999999991</v>
      </c>
      <c r="V21" s="56">
        <v>2798003</v>
      </c>
      <c r="W21" s="56">
        <v>2883397.0000000009</v>
      </c>
      <c r="X21" s="56">
        <v>2969283.0000000009</v>
      </c>
      <c r="Y21" s="56">
        <v>3057848.9999999995</v>
      </c>
      <c r="Z21" s="56">
        <v>3149019</v>
      </c>
      <c r="AA21" s="56">
        <v>3242751</v>
      </c>
      <c r="AB21" s="56">
        <v>3338895.0000000005</v>
      </c>
      <c r="AC21" s="56">
        <v>3434825.0000000005</v>
      </c>
      <c r="AD21" s="56">
        <v>3533580</v>
      </c>
      <c r="AE21" s="56">
        <v>3634772.0000000005</v>
      </c>
      <c r="AF21" s="56">
        <v>3737905.9999999995</v>
      </c>
      <c r="AG21" s="56">
        <v>3842661.9999999995</v>
      </c>
    </row>
    <row r="22" spans="1:33" x14ac:dyDescent="0.3">
      <c r="A22" s="369" t="s">
        <v>56</v>
      </c>
      <c r="B22" s="370" t="s">
        <v>56</v>
      </c>
      <c r="C22" s="56">
        <v>139545.99999999997</v>
      </c>
      <c r="D22" s="56">
        <v>143533.99999999997</v>
      </c>
      <c r="E22" s="56">
        <v>147456</v>
      </c>
      <c r="F22" s="56">
        <v>151337</v>
      </c>
      <c r="G22" s="56">
        <v>155197</v>
      </c>
      <c r="H22" s="56">
        <v>159045.00000000003</v>
      </c>
      <c r="I22" s="56">
        <v>162691.99999999994</v>
      </c>
      <c r="J22" s="56">
        <v>166194.00000000003</v>
      </c>
      <c r="K22" s="56">
        <v>169611.99999999994</v>
      </c>
      <c r="L22" s="56">
        <v>173044</v>
      </c>
      <c r="M22" s="56">
        <v>176528.99999999994</v>
      </c>
      <c r="N22" s="56">
        <v>180386.00000000003</v>
      </c>
      <c r="O22" s="56">
        <v>184320</v>
      </c>
      <c r="P22" s="56">
        <v>188224</v>
      </c>
      <c r="Q22" s="56">
        <v>191911</v>
      </c>
      <c r="R22" s="56">
        <v>195253</v>
      </c>
      <c r="S22" s="56">
        <v>198353.99999999997</v>
      </c>
      <c r="T22" s="56">
        <v>200962</v>
      </c>
      <c r="U22" s="56">
        <v>203251.99999999997</v>
      </c>
      <c r="V22" s="56">
        <v>205441.99999999991</v>
      </c>
      <c r="W22" s="56">
        <v>207659.00000000006</v>
      </c>
      <c r="X22" s="56">
        <v>209633.99999999994</v>
      </c>
      <c r="Y22" s="56">
        <v>211714.00000000012</v>
      </c>
      <c r="Z22" s="56">
        <v>213765</v>
      </c>
      <c r="AA22" s="56">
        <v>215549.99999999997</v>
      </c>
      <c r="AB22" s="56">
        <v>216950</v>
      </c>
      <c r="AC22" s="56">
        <v>218242</v>
      </c>
      <c r="AD22" s="56">
        <v>219095.99999999991</v>
      </c>
      <c r="AE22" s="56">
        <v>219621.99999999997</v>
      </c>
      <c r="AF22" s="56">
        <v>219975.00000000003</v>
      </c>
      <c r="AG22" s="56">
        <v>220217.00000000003</v>
      </c>
    </row>
    <row r="23" spans="1:33" x14ac:dyDescent="0.3">
      <c r="A23" s="369" t="s">
        <v>731</v>
      </c>
      <c r="B23" s="370" t="s">
        <v>165</v>
      </c>
      <c r="C23" s="56">
        <v>2015512.9999999998</v>
      </c>
      <c r="D23" s="56">
        <v>2056994.0000000002</v>
      </c>
      <c r="E23" s="56">
        <v>2099450</v>
      </c>
      <c r="F23" s="56">
        <v>2142847</v>
      </c>
      <c r="G23" s="56">
        <v>2187241.0000000005</v>
      </c>
      <c r="H23" s="56">
        <v>2232734.9999999995</v>
      </c>
      <c r="I23" s="56">
        <v>2279732.9999999991</v>
      </c>
      <c r="J23" s="56">
        <v>2328458</v>
      </c>
      <c r="K23" s="56">
        <v>2378504</v>
      </c>
      <c r="L23" s="56">
        <v>2429282</v>
      </c>
      <c r="M23" s="56">
        <v>2480391.0000000009</v>
      </c>
      <c r="N23" s="56">
        <v>2532882.0000000005</v>
      </c>
      <c r="O23" s="56">
        <v>2585053.9999999995</v>
      </c>
      <c r="P23" s="56">
        <v>2637149.0000000009</v>
      </c>
      <c r="Q23" s="56">
        <v>2689639.9999999995</v>
      </c>
      <c r="R23" s="56">
        <v>2742613.9999999991</v>
      </c>
      <c r="S23" s="56">
        <v>2794501.0000000005</v>
      </c>
      <c r="T23" s="56">
        <v>2846992.0000000005</v>
      </c>
      <c r="U23" s="56">
        <v>2899426.9999999995</v>
      </c>
      <c r="V23" s="56">
        <v>2950644</v>
      </c>
      <c r="W23" s="56">
        <v>2999941.9999999991</v>
      </c>
      <c r="X23" s="56">
        <v>3049785.9999999995</v>
      </c>
      <c r="Y23" s="56">
        <v>3097277.0000000005</v>
      </c>
      <c r="Z23" s="56">
        <v>3142765.0000000009</v>
      </c>
      <c r="AA23" s="56">
        <v>3186984.0000000005</v>
      </c>
      <c r="AB23" s="56">
        <v>3230185.9999999991</v>
      </c>
      <c r="AC23" s="56">
        <v>3272470</v>
      </c>
      <c r="AD23" s="56">
        <v>3314212.0000000019</v>
      </c>
      <c r="AE23" s="56">
        <v>3354762</v>
      </c>
      <c r="AF23" s="56">
        <v>3393206.0000000005</v>
      </c>
      <c r="AG23" s="56">
        <v>3429107.9999999995</v>
      </c>
    </row>
    <row r="24" spans="1:33" x14ac:dyDescent="0.3">
      <c r="A24" s="369" t="s">
        <v>346</v>
      </c>
      <c r="B24" s="370" t="s">
        <v>346</v>
      </c>
      <c r="C24" s="56">
        <v>971397.99999999988</v>
      </c>
      <c r="D24" s="56">
        <v>969947.99999999988</v>
      </c>
      <c r="E24" s="56">
        <v>969892.99999999977</v>
      </c>
      <c r="F24" s="56">
        <v>970316</v>
      </c>
      <c r="G24" s="56">
        <v>969884.99999999988</v>
      </c>
      <c r="H24" s="56">
        <v>967792.99999999988</v>
      </c>
      <c r="I24" s="56">
        <v>965289.99999999988</v>
      </c>
      <c r="J24" s="56">
        <v>959866</v>
      </c>
      <c r="K24" s="56">
        <v>951517.99999999988</v>
      </c>
      <c r="L24" s="56">
        <v>940425.00000000012</v>
      </c>
      <c r="M24" s="56">
        <v>926368.99999999988</v>
      </c>
      <c r="N24" s="56">
        <v>903979</v>
      </c>
      <c r="O24" s="56">
        <v>879243.99999999988</v>
      </c>
      <c r="P24" s="56">
        <v>853391.99999999977</v>
      </c>
      <c r="Q24" s="56">
        <v>827693.00000000012</v>
      </c>
      <c r="R24" s="56">
        <v>803404.99999999965</v>
      </c>
      <c r="S24" s="56">
        <v>784267.99999999988</v>
      </c>
      <c r="T24" s="56">
        <v>766138.00000000012</v>
      </c>
      <c r="U24" s="56">
        <v>749530.00000000023</v>
      </c>
      <c r="V24" s="56">
        <v>734857.99999999988</v>
      </c>
      <c r="W24" s="56">
        <v>721964</v>
      </c>
      <c r="X24" s="56">
        <v>714896</v>
      </c>
      <c r="Y24" s="56">
        <v>709336.00000000012</v>
      </c>
      <c r="Z24" s="56">
        <v>704775.00000000012</v>
      </c>
      <c r="AA24" s="56">
        <v>700415.99999999988</v>
      </c>
      <c r="AB24" s="56">
        <v>695676</v>
      </c>
      <c r="AC24" s="56">
        <v>690593.99999999988</v>
      </c>
      <c r="AD24" s="56">
        <v>685325.00000000023</v>
      </c>
      <c r="AE24" s="56">
        <v>679376.00000000012</v>
      </c>
      <c r="AF24" s="56">
        <v>672205.99999999988</v>
      </c>
      <c r="AG24" s="56">
        <v>663560.00000000012</v>
      </c>
    </row>
    <row r="25" spans="1:33" x14ac:dyDescent="0.3">
      <c r="A25" s="369" t="s">
        <v>296</v>
      </c>
      <c r="B25" s="370" t="s">
        <v>296</v>
      </c>
      <c r="C25" s="56">
        <v>442975.99999999994</v>
      </c>
      <c r="D25" s="56">
        <v>453891</v>
      </c>
      <c r="E25" s="56">
        <v>463602.00000000017</v>
      </c>
      <c r="F25" s="56">
        <v>472628.00000000006</v>
      </c>
      <c r="G25" s="56">
        <v>481810</v>
      </c>
      <c r="H25" s="56">
        <v>491637.00000000023</v>
      </c>
      <c r="I25" s="56">
        <v>501920.00000000006</v>
      </c>
      <c r="J25" s="56">
        <v>512987.99999999994</v>
      </c>
      <c r="K25" s="56">
        <v>524327.00000000012</v>
      </c>
      <c r="L25" s="56">
        <v>535201.99999999988</v>
      </c>
      <c r="M25" s="56">
        <v>545252</v>
      </c>
      <c r="N25" s="56">
        <v>553400.99999999988</v>
      </c>
      <c r="O25" s="56">
        <v>560200.99999999988</v>
      </c>
      <c r="P25" s="56">
        <v>566306</v>
      </c>
      <c r="Q25" s="56">
        <v>572735</v>
      </c>
      <c r="R25" s="56">
        <v>580224.99999999988</v>
      </c>
      <c r="S25" s="56">
        <v>591263.00000000012</v>
      </c>
      <c r="T25" s="56">
        <v>603974.99999999977</v>
      </c>
      <c r="U25" s="56">
        <v>617666.99999999988</v>
      </c>
      <c r="V25" s="56">
        <v>631354.99999999988</v>
      </c>
      <c r="W25" s="56">
        <v>644410.99999999988</v>
      </c>
      <c r="X25" s="56">
        <v>657191.99999999988</v>
      </c>
      <c r="Y25" s="56">
        <v>669308</v>
      </c>
      <c r="Z25" s="56">
        <v>680875</v>
      </c>
      <c r="AA25" s="56">
        <v>692122.00000000012</v>
      </c>
      <c r="AB25" s="56">
        <v>703162</v>
      </c>
      <c r="AC25" s="56">
        <v>714112</v>
      </c>
      <c r="AD25" s="56">
        <v>724643.99999999988</v>
      </c>
      <c r="AE25" s="56">
        <v>734742.00000000023</v>
      </c>
      <c r="AF25" s="56">
        <v>744382.00000000012</v>
      </c>
      <c r="AG25" s="56">
        <v>753501.00000000012</v>
      </c>
    </row>
    <row r="26" spans="1:33" x14ac:dyDescent="0.3">
      <c r="A26" s="369" t="s">
        <v>168</v>
      </c>
      <c r="B26" s="370" t="s">
        <v>168</v>
      </c>
      <c r="C26" s="56">
        <v>48163992.999999993</v>
      </c>
      <c r="D26" s="56">
        <v>48962416.000000007</v>
      </c>
      <c r="E26" s="56">
        <v>49733434.999999985</v>
      </c>
      <c r="F26" s="56">
        <v>50464816.000000015</v>
      </c>
      <c r="G26" s="56">
        <v>51148000.999999993</v>
      </c>
      <c r="H26" s="56">
        <v>51781982</v>
      </c>
      <c r="I26" s="56">
        <v>52405470</v>
      </c>
      <c r="J26" s="56">
        <v>52970251.999999993</v>
      </c>
      <c r="K26" s="56">
        <v>53487049</v>
      </c>
      <c r="L26" s="56">
        <v>53969898.000000015</v>
      </c>
      <c r="M26" s="56">
        <v>54423722</v>
      </c>
      <c r="N26" s="56">
        <v>54861219.000000015</v>
      </c>
      <c r="O26" s="56">
        <v>55257570</v>
      </c>
      <c r="P26" s="56">
        <v>55618601</v>
      </c>
      <c r="Q26" s="56">
        <v>55947736.000000015</v>
      </c>
      <c r="R26" s="56">
        <v>56244210.000000007</v>
      </c>
      <c r="S26" s="56">
        <v>56498226</v>
      </c>
      <c r="T26" s="56">
        <v>56731404</v>
      </c>
      <c r="U26" s="56">
        <v>56932302</v>
      </c>
      <c r="V26" s="56">
        <v>57089299</v>
      </c>
      <c r="W26" s="56">
        <v>57196971.000000015</v>
      </c>
      <c r="X26" s="56">
        <v>57275505.999999985</v>
      </c>
      <c r="Y26" s="56">
        <v>57318273.000000007</v>
      </c>
      <c r="Z26" s="56">
        <v>57318503</v>
      </c>
      <c r="AA26" s="56">
        <v>57269133</v>
      </c>
      <c r="AB26" s="56">
        <v>57166374</v>
      </c>
      <c r="AC26" s="56">
        <v>57067140.000000007</v>
      </c>
      <c r="AD26" s="56">
        <v>56913198</v>
      </c>
      <c r="AE26" s="56">
        <v>56709910</v>
      </c>
      <c r="AF26" s="56">
        <v>56463592.000000007</v>
      </c>
      <c r="AG26" s="56">
        <v>56176873</v>
      </c>
    </row>
    <row r="27" spans="1:33" x14ac:dyDescent="0.3">
      <c r="A27" s="369" t="s">
        <v>309</v>
      </c>
      <c r="B27" s="370" t="s">
        <v>309</v>
      </c>
      <c r="C27" s="56">
        <v>100181.99999999999</v>
      </c>
      <c r="D27" s="56">
        <v>102201.00000000001</v>
      </c>
      <c r="E27" s="56">
        <v>104062</v>
      </c>
      <c r="F27" s="56">
        <v>105639.99999999997</v>
      </c>
      <c r="G27" s="56">
        <v>106958.00000000001</v>
      </c>
      <c r="H27" s="56">
        <v>108116.99999999999</v>
      </c>
      <c r="I27" s="56">
        <v>109223</v>
      </c>
      <c r="J27" s="56">
        <v>110255.00000000001</v>
      </c>
      <c r="K27" s="56">
        <v>111195</v>
      </c>
      <c r="L27" s="56">
        <v>112067.00000000003</v>
      </c>
      <c r="M27" s="56">
        <v>112952.00000000001</v>
      </c>
      <c r="N27" s="56">
        <v>113822</v>
      </c>
      <c r="O27" s="56">
        <v>114506.99999999999</v>
      </c>
      <c r="P27" s="56">
        <v>115077.00000000001</v>
      </c>
      <c r="Q27" s="56">
        <v>115618.99999999997</v>
      </c>
      <c r="R27" s="56">
        <v>116143.99999999996</v>
      </c>
      <c r="S27" s="56">
        <v>116448.99999999999</v>
      </c>
      <c r="T27" s="56">
        <v>116950.00000000001</v>
      </c>
      <c r="U27" s="56">
        <v>117481</v>
      </c>
      <c r="V27" s="56">
        <v>117809.99999999999</v>
      </c>
      <c r="W27" s="56">
        <v>117841.00000000003</v>
      </c>
      <c r="X27" s="56">
        <v>117982.00000000001</v>
      </c>
      <c r="Y27" s="56">
        <v>117739.00000000003</v>
      </c>
      <c r="Z27" s="56">
        <v>117283.99999999999</v>
      </c>
      <c r="AA27" s="56">
        <v>116870</v>
      </c>
      <c r="AB27" s="56">
        <v>116612.00000000003</v>
      </c>
      <c r="AC27" s="56">
        <v>116409</v>
      </c>
      <c r="AD27" s="56">
        <v>116359</v>
      </c>
      <c r="AE27" s="56">
        <v>116378.00000000001</v>
      </c>
      <c r="AF27" s="56">
        <v>116313</v>
      </c>
      <c r="AG27" s="56">
        <v>116063.00000000001</v>
      </c>
    </row>
    <row r="28" spans="1:33" x14ac:dyDescent="0.3">
      <c r="A28" s="369" t="s">
        <v>326</v>
      </c>
      <c r="B28" s="370" t="s">
        <v>326</v>
      </c>
      <c r="C28" s="56">
        <v>1938269</v>
      </c>
      <c r="D28" s="56">
        <v>1917295</v>
      </c>
      <c r="E28" s="56">
        <v>1897428.9999999998</v>
      </c>
      <c r="F28" s="56">
        <v>1878254.9999999998</v>
      </c>
      <c r="G28" s="56">
        <v>1858355.0000000002</v>
      </c>
      <c r="H28" s="56">
        <v>1836623</v>
      </c>
      <c r="I28" s="56">
        <v>1809086.9999999998</v>
      </c>
      <c r="J28" s="56">
        <v>1781035.0000000005</v>
      </c>
      <c r="K28" s="56">
        <v>1752385.0000000002</v>
      </c>
      <c r="L28" s="56">
        <v>1723419</v>
      </c>
      <c r="M28" s="56">
        <v>1694543.0000000002</v>
      </c>
      <c r="N28" s="56">
        <v>1668200.0000000002</v>
      </c>
      <c r="O28" s="56">
        <v>1642883.9999999998</v>
      </c>
      <c r="P28" s="56">
        <v>1618042</v>
      </c>
      <c r="Q28" s="56">
        <v>1593290.9999999998</v>
      </c>
      <c r="R28" s="56">
        <v>1568636.0000000005</v>
      </c>
      <c r="S28" s="56">
        <v>1547744</v>
      </c>
      <c r="T28" s="56">
        <v>1525810.0000000002</v>
      </c>
      <c r="U28" s="56">
        <v>1503791.9999999998</v>
      </c>
      <c r="V28" s="56">
        <v>1482788.0000000002</v>
      </c>
      <c r="W28" s="56">
        <v>1463108.0000000002</v>
      </c>
      <c r="X28" s="56">
        <v>1442919.9999999995</v>
      </c>
      <c r="Y28" s="56">
        <v>1424393.9999999998</v>
      </c>
      <c r="Z28" s="56">
        <v>1406628.0000000002</v>
      </c>
      <c r="AA28" s="56">
        <v>1388110.9999999995</v>
      </c>
      <c r="AB28" s="56">
        <v>1368073.0000000002</v>
      </c>
      <c r="AC28" s="56">
        <v>1346804.9999999998</v>
      </c>
      <c r="AD28" s="56">
        <v>1324148.0000000002</v>
      </c>
      <c r="AE28" s="56">
        <v>1300862.9999999998</v>
      </c>
      <c r="AF28" s="56">
        <v>1278364</v>
      </c>
      <c r="AG28" s="56">
        <v>1257473.0000000002</v>
      </c>
    </row>
    <row r="29" spans="1:33" x14ac:dyDescent="0.3">
      <c r="A29" s="369" t="s">
        <v>31</v>
      </c>
      <c r="B29" s="370" t="s">
        <v>31</v>
      </c>
      <c r="C29" s="56">
        <v>2642259.0000000005</v>
      </c>
      <c r="D29" s="56">
        <v>2720283.0000000005</v>
      </c>
      <c r="E29" s="56">
        <v>2802794.0000000009</v>
      </c>
      <c r="F29" s="56">
        <v>2889589</v>
      </c>
      <c r="G29" s="56">
        <v>2980548.0000000005</v>
      </c>
      <c r="H29" s="56">
        <v>3075589.9999999995</v>
      </c>
      <c r="I29" s="56">
        <v>3166342.9999999995</v>
      </c>
      <c r="J29" s="56">
        <v>3262204.9999999995</v>
      </c>
      <c r="K29" s="56">
        <v>3362951.9999999991</v>
      </c>
      <c r="L29" s="56">
        <v>3468657.9999999995</v>
      </c>
      <c r="M29" s="56">
        <v>3579388.0000000005</v>
      </c>
      <c r="N29" s="56">
        <v>3687198</v>
      </c>
      <c r="O29" s="56">
        <v>3802044.9999999995</v>
      </c>
      <c r="P29" s="56">
        <v>3922848.0000000005</v>
      </c>
      <c r="Q29" s="56">
        <v>4048316.0000000009</v>
      </c>
      <c r="R29" s="56">
        <v>4177966.0000000014</v>
      </c>
      <c r="S29" s="56">
        <v>4310151.0000000009</v>
      </c>
      <c r="T29" s="56">
        <v>4446401.9999999991</v>
      </c>
      <c r="U29" s="56">
        <v>4587791</v>
      </c>
      <c r="V29" s="56">
        <v>4735853.9999999981</v>
      </c>
      <c r="W29" s="56">
        <v>4891164.0000000009</v>
      </c>
      <c r="X29" s="56">
        <v>5049176</v>
      </c>
      <c r="Y29" s="56">
        <v>5214598.9999999991</v>
      </c>
      <c r="Z29" s="56">
        <v>5386331.0000000019</v>
      </c>
      <c r="AA29" s="56">
        <v>5562418.0000000019</v>
      </c>
      <c r="AB29" s="56">
        <v>5741544.0000000028</v>
      </c>
      <c r="AC29" s="56">
        <v>5920793</v>
      </c>
      <c r="AD29" s="56">
        <v>6103559.0000000009</v>
      </c>
      <c r="AE29" s="56">
        <v>6289712</v>
      </c>
      <c r="AF29" s="56">
        <v>6479336</v>
      </c>
      <c r="AG29" s="56">
        <v>6672381.9999999991</v>
      </c>
    </row>
    <row r="30" spans="1:33" x14ac:dyDescent="0.3">
      <c r="A30" s="369" t="s">
        <v>57</v>
      </c>
      <c r="B30" s="370" t="s">
        <v>57</v>
      </c>
      <c r="C30" s="56">
        <v>1389456.9999999998</v>
      </c>
      <c r="D30" s="56">
        <v>1441456.0000000005</v>
      </c>
      <c r="E30" s="56">
        <v>1500892.0000000005</v>
      </c>
      <c r="F30" s="56">
        <v>1566403.9999999993</v>
      </c>
      <c r="G30" s="56">
        <v>1635747.9999999993</v>
      </c>
      <c r="H30" s="56">
        <v>1706825.9999999998</v>
      </c>
      <c r="I30" s="56">
        <v>1775234.9999999998</v>
      </c>
      <c r="J30" s="56">
        <v>1846076</v>
      </c>
      <c r="K30" s="56">
        <v>1917949</v>
      </c>
      <c r="L30" s="56">
        <v>1989336.9999999998</v>
      </c>
      <c r="M30" s="56">
        <v>2059472.0000000007</v>
      </c>
      <c r="N30" s="56">
        <v>2121943</v>
      </c>
      <c r="O30" s="56">
        <v>2184112</v>
      </c>
      <c r="P30" s="56">
        <v>2246742.0000000005</v>
      </c>
      <c r="Q30" s="56">
        <v>2311512</v>
      </c>
      <c r="R30" s="56">
        <v>2379822.0000000005</v>
      </c>
      <c r="S30" s="56">
        <v>2453145.0000000005</v>
      </c>
      <c r="T30" s="56">
        <v>2530938.0000000005</v>
      </c>
      <c r="U30" s="56">
        <v>2613395.0000000005</v>
      </c>
      <c r="V30" s="56">
        <v>2700731</v>
      </c>
      <c r="W30" s="56">
        <v>2793054</v>
      </c>
      <c r="X30" s="56">
        <v>2891182</v>
      </c>
      <c r="Y30" s="56">
        <v>2993553.9999999991</v>
      </c>
      <c r="Z30" s="56">
        <v>3100294.0000000005</v>
      </c>
      <c r="AA30" s="56">
        <v>3211331.0000000009</v>
      </c>
      <c r="AB30" s="56">
        <v>3326228</v>
      </c>
      <c r="AC30" s="56">
        <v>3443065.0000000005</v>
      </c>
      <c r="AD30" s="56">
        <v>3563778.9999999995</v>
      </c>
      <c r="AE30" s="56">
        <v>3687172.0000000005</v>
      </c>
      <c r="AF30" s="56">
        <v>3811366.0000000009</v>
      </c>
      <c r="AG30" s="56">
        <v>3935103</v>
      </c>
    </row>
    <row r="31" spans="1:33" x14ac:dyDescent="0.3">
      <c r="A31" s="369" t="s">
        <v>495</v>
      </c>
      <c r="B31" s="370" t="s">
        <v>495</v>
      </c>
      <c r="C31" s="56">
        <v>104597.00000000004</v>
      </c>
      <c r="D31" s="56">
        <v>108210.00000000003</v>
      </c>
      <c r="E31" s="56">
        <v>111508.99999999999</v>
      </c>
      <c r="F31" s="56">
        <v>114594</v>
      </c>
      <c r="G31" s="56">
        <v>117628.00000000001</v>
      </c>
      <c r="H31" s="56">
        <v>120645.00000000001</v>
      </c>
      <c r="I31" s="56">
        <v>122923</v>
      </c>
      <c r="J31" s="56">
        <v>125179.99999999997</v>
      </c>
      <c r="K31" s="56">
        <v>127381.99999999997</v>
      </c>
      <c r="L31" s="56">
        <v>129394.99999999999</v>
      </c>
      <c r="M31" s="56">
        <v>131168.99999999997</v>
      </c>
      <c r="N31" s="56">
        <v>133470</v>
      </c>
      <c r="O31" s="56">
        <v>135358.00000000003</v>
      </c>
      <c r="P31" s="56">
        <v>136943</v>
      </c>
      <c r="Q31" s="56">
        <v>138428.99999999994</v>
      </c>
      <c r="R31" s="56">
        <v>139924.99999999997</v>
      </c>
      <c r="S31" s="56">
        <v>141728.99999999997</v>
      </c>
      <c r="T31" s="56">
        <v>143605</v>
      </c>
      <c r="U31" s="56">
        <v>145489.99999999997</v>
      </c>
      <c r="V31" s="56">
        <v>147278.00000000003</v>
      </c>
      <c r="W31" s="56">
        <v>148942.99999999994</v>
      </c>
      <c r="X31" s="56">
        <v>150847</v>
      </c>
      <c r="Y31" s="56">
        <v>152605</v>
      </c>
      <c r="Z31" s="56">
        <v>154228.99999999997</v>
      </c>
      <c r="AA31" s="56">
        <v>155774.99999999997</v>
      </c>
      <c r="AB31" s="56">
        <v>157254.00000000003</v>
      </c>
      <c r="AC31" s="56">
        <v>158813.00000000003</v>
      </c>
      <c r="AD31" s="56">
        <v>160303</v>
      </c>
      <c r="AE31" s="56">
        <v>161657</v>
      </c>
      <c r="AF31" s="56">
        <v>162782</v>
      </c>
      <c r="AG31" s="56">
        <v>163629.99999999997</v>
      </c>
    </row>
    <row r="32" spans="1:33" x14ac:dyDescent="0.3">
      <c r="A32" s="369" t="s">
        <v>58</v>
      </c>
      <c r="B32" s="370" t="s">
        <v>58</v>
      </c>
      <c r="C32" s="56">
        <v>3078483</v>
      </c>
      <c r="D32" s="56">
        <v>3201209</v>
      </c>
      <c r="E32" s="56">
        <v>3303121</v>
      </c>
      <c r="F32" s="56">
        <v>3387446.9999999995</v>
      </c>
      <c r="G32" s="56">
        <v>3464837.9999999991</v>
      </c>
      <c r="H32" s="56">
        <v>3543989</v>
      </c>
      <c r="I32" s="56">
        <v>3628999.0000000005</v>
      </c>
      <c r="J32" s="56">
        <v>3713972</v>
      </c>
      <c r="K32" s="56">
        <v>3797414.0000000005</v>
      </c>
      <c r="L32" s="56">
        <v>3874236.0000000005</v>
      </c>
      <c r="M32" s="56">
        <v>3941581</v>
      </c>
      <c r="N32" s="56">
        <v>4007441.0000000005</v>
      </c>
      <c r="O32" s="56">
        <v>4073884</v>
      </c>
      <c r="P32" s="56">
        <v>4138016.9999999991</v>
      </c>
      <c r="Q32" s="56">
        <v>4198026.9999999991</v>
      </c>
      <c r="R32" s="56">
        <v>4253640.9999999991</v>
      </c>
      <c r="S32" s="56">
        <v>4309275.0000000009</v>
      </c>
      <c r="T32" s="56">
        <v>4360839</v>
      </c>
      <c r="U32" s="56">
        <v>4409716</v>
      </c>
      <c r="V32" s="56">
        <v>4458264.9999999981</v>
      </c>
      <c r="W32" s="56">
        <v>4508126</v>
      </c>
      <c r="X32" s="56">
        <v>4561042</v>
      </c>
      <c r="Y32" s="56">
        <v>4612327.9999999991</v>
      </c>
      <c r="Z32" s="56">
        <v>4666760.9999999981</v>
      </c>
      <c r="AA32" s="56">
        <v>4730957</v>
      </c>
      <c r="AB32" s="56">
        <v>4807968.9999999981</v>
      </c>
      <c r="AC32" s="56">
        <v>4900513.0000000019</v>
      </c>
      <c r="AD32" s="56">
        <v>5006894</v>
      </c>
      <c r="AE32" s="56">
        <v>5113737.9999999991</v>
      </c>
      <c r="AF32" s="56">
        <v>5200149.9999999991</v>
      </c>
      <c r="AG32" s="56">
        <v>5253760.0000000009</v>
      </c>
    </row>
    <row r="33" spans="1:33" x14ac:dyDescent="0.3">
      <c r="A33" s="369" t="s">
        <v>59</v>
      </c>
      <c r="B33" s="370" t="s">
        <v>59</v>
      </c>
      <c r="C33" s="56">
        <v>3519453.0000000005</v>
      </c>
      <c r="D33" s="56">
        <v>3632344.0000000014</v>
      </c>
      <c r="E33" s="56">
        <v>3749535.9999999995</v>
      </c>
      <c r="F33" s="56">
        <v>3871128.9999999995</v>
      </c>
      <c r="G33" s="56">
        <v>3997510.9999999991</v>
      </c>
      <c r="H33" s="56">
        <v>4128731.0000000005</v>
      </c>
      <c r="I33" s="56">
        <v>4253471.0000000009</v>
      </c>
      <c r="J33" s="56">
        <v>4385133.9999999981</v>
      </c>
      <c r="K33" s="56">
        <v>4522183.9999999991</v>
      </c>
      <c r="L33" s="56">
        <v>4662778</v>
      </c>
      <c r="M33" s="56">
        <v>4806250.0000000009</v>
      </c>
      <c r="N33" s="56">
        <v>4947956.0000000009</v>
      </c>
      <c r="O33" s="56">
        <v>5093977.9999999981</v>
      </c>
      <c r="P33" s="56">
        <v>5244793.0000000009</v>
      </c>
      <c r="Q33" s="56">
        <v>5401696.0000000009</v>
      </c>
      <c r="R33" s="56">
        <v>5565507</v>
      </c>
      <c r="S33" s="56">
        <v>5730846.0000000009</v>
      </c>
      <c r="T33" s="56">
        <v>5903408</v>
      </c>
      <c r="U33" s="56">
        <v>6082961.9999999991</v>
      </c>
      <c r="V33" s="56">
        <v>6268992.0000000019</v>
      </c>
      <c r="W33" s="56">
        <v>6461040.0000000009</v>
      </c>
      <c r="X33" s="56">
        <v>6654170.9999999991</v>
      </c>
      <c r="Y33" s="56">
        <v>6853029</v>
      </c>
      <c r="Z33" s="56">
        <v>7057387</v>
      </c>
      <c r="AA33" s="56">
        <v>7266791.9999999981</v>
      </c>
      <c r="AB33" s="56">
        <v>7480630</v>
      </c>
      <c r="AC33" s="56">
        <v>7692415.9999999972</v>
      </c>
      <c r="AD33" s="56">
        <v>7908885</v>
      </c>
      <c r="AE33" s="56">
        <v>8128757.0000000009</v>
      </c>
      <c r="AF33" s="56">
        <v>8350347.0000000019</v>
      </c>
      <c r="AG33" s="56">
        <v>8572555.9999999981</v>
      </c>
    </row>
    <row r="34" spans="1:33" x14ac:dyDescent="0.3">
      <c r="A34" s="369" t="s">
        <v>722</v>
      </c>
      <c r="B34" s="370" t="s">
        <v>521</v>
      </c>
      <c r="C34" s="56">
        <v>857264.00000000012</v>
      </c>
      <c r="D34" s="56">
        <v>875460</v>
      </c>
      <c r="E34" s="56">
        <v>894220.00000000058</v>
      </c>
      <c r="F34" s="56">
        <v>913489.00000000023</v>
      </c>
      <c r="G34" s="56">
        <v>933186.99999999965</v>
      </c>
      <c r="H34" s="56">
        <v>953313</v>
      </c>
      <c r="I34" s="56">
        <v>968618.99999999988</v>
      </c>
      <c r="J34" s="56">
        <v>984531.99999999977</v>
      </c>
      <c r="K34" s="56">
        <v>1000237.0000000002</v>
      </c>
      <c r="L34" s="56">
        <v>1014744</v>
      </c>
      <c r="M34" s="56">
        <v>1027546</v>
      </c>
      <c r="N34" s="56">
        <v>1026288.9999999998</v>
      </c>
      <c r="O34" s="56">
        <v>1023200.0000000001</v>
      </c>
      <c r="P34" s="56">
        <v>1020459.0000000001</v>
      </c>
      <c r="Q34" s="56">
        <v>1020540.9999999998</v>
      </c>
      <c r="R34" s="56">
        <v>1025156.9999999999</v>
      </c>
      <c r="S34" s="56">
        <v>1040629.9999999999</v>
      </c>
      <c r="T34" s="56">
        <v>1060800.0000000002</v>
      </c>
      <c r="U34" s="56">
        <v>1085054</v>
      </c>
      <c r="V34" s="56">
        <v>1112178.9999999998</v>
      </c>
      <c r="W34" s="56">
        <v>1141222.0000000002</v>
      </c>
      <c r="X34" s="56">
        <v>1174739.9999999995</v>
      </c>
      <c r="Y34" s="56">
        <v>1209778</v>
      </c>
      <c r="Z34" s="56">
        <v>1246257</v>
      </c>
      <c r="AA34" s="56">
        <v>1284191.0000000002</v>
      </c>
      <c r="AB34" s="56">
        <v>1323423.0000000002</v>
      </c>
      <c r="AC34" s="56">
        <v>1362006.9999999998</v>
      </c>
      <c r="AD34" s="56">
        <v>1402145</v>
      </c>
      <c r="AE34" s="56">
        <v>1443160</v>
      </c>
      <c r="AF34" s="56">
        <v>1484284</v>
      </c>
      <c r="AG34" s="56">
        <v>1525147</v>
      </c>
    </row>
    <row r="35" spans="1:33" x14ac:dyDescent="0.3">
      <c r="A35" s="369" t="s">
        <v>60</v>
      </c>
      <c r="B35" s="370" t="s">
        <v>60</v>
      </c>
      <c r="C35" s="56">
        <v>1780735</v>
      </c>
      <c r="D35" s="56">
        <v>1844505.0000000002</v>
      </c>
      <c r="E35" s="56">
        <v>1913039.0000000002</v>
      </c>
      <c r="F35" s="56">
        <v>1985639</v>
      </c>
      <c r="G35" s="56">
        <v>2061837.9999999998</v>
      </c>
      <c r="H35" s="56">
        <v>2141493</v>
      </c>
      <c r="I35" s="56">
        <v>2217005.0000000005</v>
      </c>
      <c r="J35" s="56">
        <v>2296520.9999999995</v>
      </c>
      <c r="K35" s="56">
        <v>2380706</v>
      </c>
      <c r="L35" s="56">
        <v>2470301.0000000005</v>
      </c>
      <c r="M35" s="56">
        <v>2565765.0000000005</v>
      </c>
      <c r="N35" s="56">
        <v>2662274.0000000014</v>
      </c>
      <c r="O35" s="56">
        <v>2765477.0000000005</v>
      </c>
      <c r="P35" s="56">
        <v>2874552.0000000014</v>
      </c>
      <c r="Q35" s="56">
        <v>2988649.0000000005</v>
      </c>
      <c r="R35" s="56">
        <v>3107255.9999999995</v>
      </c>
      <c r="S35" s="56">
        <v>3224124.9999999995</v>
      </c>
      <c r="T35" s="56">
        <v>3345682</v>
      </c>
      <c r="U35" s="56">
        <v>3471953.9999999995</v>
      </c>
      <c r="V35" s="56">
        <v>3602955.0000000014</v>
      </c>
      <c r="W35" s="56">
        <v>3738622.0000000009</v>
      </c>
      <c r="X35" s="56">
        <v>3872978.9999999991</v>
      </c>
      <c r="Y35" s="56">
        <v>4012503.0000000005</v>
      </c>
      <c r="Z35" s="56">
        <v>4156747.9999999995</v>
      </c>
      <c r="AA35" s="56">
        <v>4305207</v>
      </c>
      <c r="AB35" s="56">
        <v>4457563.0000000009</v>
      </c>
      <c r="AC35" s="56">
        <v>4607821.0000000019</v>
      </c>
      <c r="AD35" s="56">
        <v>4762661.9999999991</v>
      </c>
      <c r="AE35" s="56">
        <v>4921715</v>
      </c>
      <c r="AF35" s="56">
        <v>5084655</v>
      </c>
      <c r="AG35" s="56">
        <v>5251256</v>
      </c>
    </row>
    <row r="36" spans="1:33" x14ac:dyDescent="0.3">
      <c r="A36" s="369" t="s">
        <v>334</v>
      </c>
      <c r="B36" s="370" t="s">
        <v>334</v>
      </c>
      <c r="C36" s="56">
        <v>38248</v>
      </c>
      <c r="D36" s="56">
        <v>38273.999999999993</v>
      </c>
      <c r="E36" s="56">
        <v>38285</v>
      </c>
      <c r="F36" s="56">
        <v>38236.000000000007</v>
      </c>
      <c r="G36" s="56">
        <v>38126.000000000007</v>
      </c>
      <c r="H36" s="56">
        <v>38019.999999999993</v>
      </c>
      <c r="I36" s="56">
        <v>38184.999999999985</v>
      </c>
      <c r="J36" s="56">
        <v>38477.000000000007</v>
      </c>
      <c r="K36" s="56">
        <v>38812.000000000007</v>
      </c>
      <c r="L36" s="56">
        <v>39102</v>
      </c>
      <c r="M36" s="56">
        <v>39298</v>
      </c>
      <c r="N36" s="56">
        <v>39322.999999999993</v>
      </c>
      <c r="O36" s="56">
        <v>39322.999999999993</v>
      </c>
      <c r="P36" s="56">
        <v>39328.999999999993</v>
      </c>
      <c r="Q36" s="56">
        <v>39363.000000000007</v>
      </c>
      <c r="R36" s="56">
        <v>39460</v>
      </c>
      <c r="S36" s="56">
        <v>39390.999999999993</v>
      </c>
      <c r="T36" s="56">
        <v>39415.000000000007</v>
      </c>
      <c r="U36" s="56">
        <v>39466</v>
      </c>
      <c r="V36" s="56">
        <v>39482</v>
      </c>
      <c r="W36" s="56">
        <v>39437.000000000007</v>
      </c>
      <c r="X36" s="56">
        <v>39283.000000000007</v>
      </c>
      <c r="Y36" s="56">
        <v>39058.999999999993</v>
      </c>
      <c r="Z36" s="56">
        <v>38804.000000000007</v>
      </c>
      <c r="AA36" s="56">
        <v>38602.000000000015</v>
      </c>
      <c r="AB36" s="56">
        <v>38473</v>
      </c>
      <c r="AC36" s="56">
        <v>38420.000000000007</v>
      </c>
      <c r="AD36" s="56">
        <v>38467</v>
      </c>
      <c r="AE36" s="56">
        <v>38567.000000000015</v>
      </c>
      <c r="AF36" s="56">
        <v>38660.000000000007</v>
      </c>
      <c r="AG36" s="56">
        <v>38689.999999999993</v>
      </c>
    </row>
    <row r="37" spans="1:33" x14ac:dyDescent="0.3">
      <c r="A37" s="369" t="s">
        <v>384</v>
      </c>
      <c r="B37" s="370" t="s">
        <v>384</v>
      </c>
      <c r="C37" s="56">
        <v>4109441.0000000009</v>
      </c>
      <c r="D37" s="56">
        <v>4159472.0000000005</v>
      </c>
      <c r="E37" s="56">
        <v>4204475</v>
      </c>
      <c r="F37" s="56">
        <v>4246680.0000000009</v>
      </c>
      <c r="G37" s="56">
        <v>4288762</v>
      </c>
      <c r="H37" s="56">
        <v>4331640</v>
      </c>
      <c r="I37" s="56">
        <v>4376719</v>
      </c>
      <c r="J37" s="56">
        <v>4422244.0000000009</v>
      </c>
      <c r="K37" s="56">
        <v>4466303</v>
      </c>
      <c r="L37" s="56">
        <v>4505854</v>
      </c>
      <c r="M37" s="56">
        <v>4539045</v>
      </c>
      <c r="N37" s="56">
        <v>4566205.9999999981</v>
      </c>
      <c r="O37" s="56">
        <v>4588283</v>
      </c>
      <c r="P37" s="56">
        <v>4607210</v>
      </c>
      <c r="Q37" s="56">
        <v>4626611</v>
      </c>
      <c r="R37" s="56">
        <v>4648878.9999999991</v>
      </c>
      <c r="S37" s="56">
        <v>4690756</v>
      </c>
      <c r="T37" s="56">
        <v>4737053</v>
      </c>
      <c r="U37" s="56">
        <v>4781076.0000000009</v>
      </c>
      <c r="V37" s="56">
        <v>4814774</v>
      </c>
      <c r="W37" s="56">
        <v>4833399</v>
      </c>
      <c r="X37" s="56">
        <v>4817487.9999999991</v>
      </c>
      <c r="Y37" s="56">
        <v>4785332</v>
      </c>
      <c r="Z37" s="56">
        <v>4743829</v>
      </c>
      <c r="AA37" s="56">
        <v>4701900.9999999991</v>
      </c>
      <c r="AB37" s="56">
        <v>4664975</v>
      </c>
      <c r="AC37" s="56">
        <v>4639275</v>
      </c>
      <c r="AD37" s="56">
        <v>4619846</v>
      </c>
      <c r="AE37" s="56">
        <v>4604480</v>
      </c>
      <c r="AF37" s="56">
        <v>4589403</v>
      </c>
      <c r="AG37" s="56">
        <v>4572411.9999999991</v>
      </c>
    </row>
    <row r="38" spans="1:33" x14ac:dyDescent="0.3">
      <c r="A38" s="369" t="s">
        <v>299</v>
      </c>
      <c r="B38" s="370" t="s">
        <v>299</v>
      </c>
      <c r="C38" s="56">
        <v>357675939.99999988</v>
      </c>
      <c r="D38" s="56">
        <v>360347821.00000006</v>
      </c>
      <c r="E38" s="56">
        <v>364245077.99999994</v>
      </c>
      <c r="F38" s="56">
        <v>368745184.99999994</v>
      </c>
      <c r="G38" s="56">
        <v>372684618.00000006</v>
      </c>
      <c r="H38" s="56">
        <v>375480417</v>
      </c>
      <c r="I38" s="56">
        <v>377780814.00000006</v>
      </c>
      <c r="J38" s="56">
        <v>379099327.00000006</v>
      </c>
      <c r="K38" s="56">
        <v>379498643</v>
      </c>
      <c r="L38" s="56">
        <v>379328133</v>
      </c>
      <c r="M38" s="56">
        <v>378753330.99999994</v>
      </c>
      <c r="N38" s="56">
        <v>377642192.00000012</v>
      </c>
      <c r="O38" s="56">
        <v>376091469.00000006</v>
      </c>
      <c r="P38" s="56">
        <v>374006475.99999988</v>
      </c>
      <c r="Q38" s="56">
        <v>371197627.00000006</v>
      </c>
      <c r="R38" s="56">
        <v>367592026.00000006</v>
      </c>
      <c r="S38" s="56">
        <v>363319903</v>
      </c>
      <c r="T38" s="56">
        <v>358424297.99999988</v>
      </c>
      <c r="U38" s="56">
        <v>353095225</v>
      </c>
      <c r="V38" s="56">
        <v>347636034</v>
      </c>
      <c r="W38" s="56">
        <v>342279944</v>
      </c>
      <c r="X38" s="56">
        <v>337363704.99999994</v>
      </c>
      <c r="Y38" s="56">
        <v>332551832.00000012</v>
      </c>
      <c r="Z38" s="56">
        <v>328038416.00000006</v>
      </c>
      <c r="AA38" s="56">
        <v>324057693</v>
      </c>
      <c r="AB38" s="56">
        <v>320733939</v>
      </c>
      <c r="AC38" s="56">
        <v>318411433</v>
      </c>
      <c r="AD38" s="56">
        <v>316686445</v>
      </c>
      <c r="AE38" s="56">
        <v>315371756</v>
      </c>
      <c r="AF38" s="56">
        <v>314147901</v>
      </c>
      <c r="AG38" s="56">
        <v>312763276.99999994</v>
      </c>
    </row>
    <row r="39" spans="1:33" x14ac:dyDescent="0.3">
      <c r="A39" s="369" t="s">
        <v>300</v>
      </c>
      <c r="B39" s="370" t="s">
        <v>300</v>
      </c>
      <c r="C39" s="56">
        <v>2008610.0000000002</v>
      </c>
      <c r="D39" s="56">
        <v>2030639.0000000005</v>
      </c>
      <c r="E39" s="56">
        <v>2043877</v>
      </c>
      <c r="F39" s="56">
        <v>2049995</v>
      </c>
      <c r="G39" s="56">
        <v>2051913</v>
      </c>
      <c r="H39" s="56">
        <v>2051942.9999999998</v>
      </c>
      <c r="I39" s="56">
        <v>2060593.9999999995</v>
      </c>
      <c r="J39" s="56">
        <v>2067538</v>
      </c>
      <c r="K39" s="56">
        <v>2072417</v>
      </c>
      <c r="L39" s="56">
        <v>2074086.0000000002</v>
      </c>
      <c r="M39" s="56">
        <v>2071619.0000000002</v>
      </c>
      <c r="N39" s="56">
        <v>2062776.9999999995</v>
      </c>
      <c r="O39" s="56">
        <v>2051047</v>
      </c>
      <c r="P39" s="56">
        <v>2036359.0000000002</v>
      </c>
      <c r="Q39" s="56">
        <v>2019245.9999999998</v>
      </c>
      <c r="R39" s="56">
        <v>2000757.0000000002</v>
      </c>
      <c r="S39" s="56">
        <v>1986217.9999999995</v>
      </c>
      <c r="T39" s="56">
        <v>1969568</v>
      </c>
      <c r="U39" s="56">
        <v>1951371</v>
      </c>
      <c r="V39" s="56">
        <v>1932601</v>
      </c>
      <c r="W39" s="56">
        <v>1913661.9999999995</v>
      </c>
      <c r="X39" s="56">
        <v>1892115.0000000002</v>
      </c>
      <c r="Y39" s="56">
        <v>1872811</v>
      </c>
      <c r="Z39" s="56">
        <v>1854697</v>
      </c>
      <c r="AA39" s="56">
        <v>1835769.0000000002</v>
      </c>
      <c r="AB39" s="56">
        <v>1814819.9999999998</v>
      </c>
      <c r="AC39" s="56">
        <v>1791895.9999999998</v>
      </c>
      <c r="AD39" s="56">
        <v>1766934.9999999998</v>
      </c>
      <c r="AE39" s="56">
        <v>1740397.0000000002</v>
      </c>
      <c r="AF39" s="56">
        <v>1713365</v>
      </c>
      <c r="AG39" s="56">
        <v>1686294.9999999995</v>
      </c>
    </row>
    <row r="40" spans="1:33" x14ac:dyDescent="0.3">
      <c r="A40" s="369" t="s">
        <v>301</v>
      </c>
      <c r="B40" s="370" t="s">
        <v>301</v>
      </c>
      <c r="C40" s="56">
        <v>136251.99999999997</v>
      </c>
      <c r="D40" s="56">
        <v>140540</v>
      </c>
      <c r="E40" s="56">
        <v>145596.00000000003</v>
      </c>
      <c r="F40" s="56">
        <v>151056.99999999997</v>
      </c>
      <c r="G40" s="56">
        <v>156429.99999999997</v>
      </c>
      <c r="H40" s="56">
        <v>161290</v>
      </c>
      <c r="I40" s="56">
        <v>165248.99999999997</v>
      </c>
      <c r="J40" s="56">
        <v>168486.99999999991</v>
      </c>
      <c r="K40" s="56">
        <v>171184.99999999997</v>
      </c>
      <c r="L40" s="56">
        <v>173600.00000000003</v>
      </c>
      <c r="M40" s="56">
        <v>175810.00000000003</v>
      </c>
      <c r="N40" s="56">
        <v>177325.00000000006</v>
      </c>
      <c r="O40" s="56">
        <v>178686.00000000003</v>
      </c>
      <c r="P40" s="56">
        <v>179747</v>
      </c>
      <c r="Q40" s="56">
        <v>180384</v>
      </c>
      <c r="R40" s="56">
        <v>180535.99999999997</v>
      </c>
      <c r="S40" s="56">
        <v>179422</v>
      </c>
      <c r="T40" s="56">
        <v>178010.99999999997</v>
      </c>
      <c r="U40" s="56">
        <v>176390</v>
      </c>
      <c r="V40" s="56">
        <v>174646.00000000003</v>
      </c>
      <c r="W40" s="56">
        <v>172881.99999999997</v>
      </c>
      <c r="X40" s="56">
        <v>171292</v>
      </c>
      <c r="Y40" s="56">
        <v>169663.00000000003</v>
      </c>
      <c r="Z40" s="56">
        <v>168199</v>
      </c>
      <c r="AA40" s="56">
        <v>167211</v>
      </c>
      <c r="AB40" s="56">
        <v>166830.00000000003</v>
      </c>
      <c r="AC40" s="56">
        <v>167012.99999999994</v>
      </c>
      <c r="AD40" s="56">
        <v>167860</v>
      </c>
      <c r="AE40" s="56">
        <v>169023.00000000003</v>
      </c>
      <c r="AF40" s="56">
        <v>169942.00000000003</v>
      </c>
      <c r="AG40" s="56">
        <v>170243.99999999997</v>
      </c>
    </row>
    <row r="41" spans="1:33" x14ac:dyDescent="0.3">
      <c r="A41" s="369" t="s">
        <v>723</v>
      </c>
      <c r="B41" s="370" t="s">
        <v>723</v>
      </c>
      <c r="C41" s="56">
        <v>6304289.9999999981</v>
      </c>
      <c r="D41" s="56">
        <v>6324682.0000000009</v>
      </c>
      <c r="E41" s="56">
        <v>6328288.9999999991</v>
      </c>
      <c r="F41" s="56">
        <v>6319702.9999999991</v>
      </c>
      <c r="G41" s="56">
        <v>6307737.0000000009</v>
      </c>
      <c r="H41" s="56">
        <v>6297447.0000000019</v>
      </c>
      <c r="I41" s="56">
        <v>6298541.9999999991</v>
      </c>
      <c r="J41" s="56">
        <v>6297852.9999999981</v>
      </c>
      <c r="K41" s="56">
        <v>6294938</v>
      </c>
      <c r="L41" s="56">
        <v>6285909</v>
      </c>
      <c r="M41" s="56">
        <v>6267541.0000000019</v>
      </c>
      <c r="N41" s="56">
        <v>6242434</v>
      </c>
      <c r="O41" s="56">
        <v>6206663</v>
      </c>
      <c r="P41" s="56">
        <v>6162681.9999999972</v>
      </c>
      <c r="Q41" s="56">
        <v>6114386</v>
      </c>
      <c r="R41" s="56">
        <v>6063786.0000000009</v>
      </c>
      <c r="S41" s="56">
        <v>6005551.9999999991</v>
      </c>
      <c r="T41" s="56">
        <v>5949532.0000000009</v>
      </c>
      <c r="U41" s="56">
        <v>5892152</v>
      </c>
      <c r="V41" s="56">
        <v>5828885.9999999991</v>
      </c>
      <c r="W41" s="56">
        <v>5757995.0000000009</v>
      </c>
      <c r="X41" s="56">
        <v>5693511.9999999991</v>
      </c>
      <c r="Y41" s="56">
        <v>5621224</v>
      </c>
      <c r="Z41" s="56">
        <v>5541994.0000000009</v>
      </c>
      <c r="AA41" s="56">
        <v>5456931.0000000009</v>
      </c>
      <c r="AB41" s="56">
        <v>5366063.0000000009</v>
      </c>
      <c r="AC41" s="56">
        <v>5273875</v>
      </c>
      <c r="AD41" s="56">
        <v>5176777</v>
      </c>
      <c r="AE41" s="56">
        <v>5076437.9999999991</v>
      </c>
      <c r="AF41" s="56">
        <v>4974775</v>
      </c>
      <c r="AG41" s="56">
        <v>4873480.0000000009</v>
      </c>
    </row>
    <row r="42" spans="1:33" x14ac:dyDescent="0.3">
      <c r="A42" s="369" t="s">
        <v>175</v>
      </c>
      <c r="B42" s="370" t="s">
        <v>175</v>
      </c>
      <c r="C42" s="56">
        <v>10801617</v>
      </c>
      <c r="D42" s="56">
        <v>10988705.000000002</v>
      </c>
      <c r="E42" s="56">
        <v>11157560.000000002</v>
      </c>
      <c r="F42" s="56">
        <v>11314933</v>
      </c>
      <c r="G42" s="56">
        <v>11472053</v>
      </c>
      <c r="H42" s="56">
        <v>11634299.000000002</v>
      </c>
      <c r="I42" s="56">
        <v>11796519</v>
      </c>
      <c r="J42" s="56">
        <v>11967179</v>
      </c>
      <c r="K42" s="56">
        <v>12137753.999999996</v>
      </c>
      <c r="L42" s="56">
        <v>12293893.000000006</v>
      </c>
      <c r="M42" s="56">
        <v>12427952.000000002</v>
      </c>
      <c r="N42" s="56">
        <v>12554895.000000002</v>
      </c>
      <c r="O42" s="56">
        <v>12655508.999999998</v>
      </c>
      <c r="P42" s="56">
        <v>12743614</v>
      </c>
      <c r="Q42" s="56">
        <v>12839075</v>
      </c>
      <c r="R42" s="56">
        <v>12952328.000000004</v>
      </c>
      <c r="S42" s="56">
        <v>13112849.000000002</v>
      </c>
      <c r="T42" s="56">
        <v>13293597.999999998</v>
      </c>
      <c r="U42" s="56">
        <v>13475646</v>
      </c>
      <c r="V42" s="56">
        <v>13634239.000000004</v>
      </c>
      <c r="W42" s="56">
        <v>13753763.999999998</v>
      </c>
      <c r="X42" s="56">
        <v>13781447.999999998</v>
      </c>
      <c r="Y42" s="56">
        <v>13773521.000000002</v>
      </c>
      <c r="Z42" s="56">
        <v>13739288</v>
      </c>
      <c r="AA42" s="56">
        <v>13692782</v>
      </c>
      <c r="AB42" s="56">
        <v>13645126</v>
      </c>
      <c r="AC42" s="56">
        <v>13636583.999999996</v>
      </c>
      <c r="AD42" s="56">
        <v>13624994.999999996</v>
      </c>
      <c r="AE42" s="56">
        <v>13610802</v>
      </c>
      <c r="AF42" s="56">
        <v>13594017</v>
      </c>
      <c r="AG42" s="56">
        <v>13573050.000000002</v>
      </c>
    </row>
    <row r="43" spans="1:33" x14ac:dyDescent="0.3">
      <c r="A43" s="369" t="s">
        <v>61</v>
      </c>
      <c r="B43" s="370" t="s">
        <v>61</v>
      </c>
      <c r="C43" s="56">
        <v>125929</v>
      </c>
      <c r="D43" s="56">
        <v>129937.99999999996</v>
      </c>
      <c r="E43" s="56">
        <v>134005</v>
      </c>
      <c r="F43" s="56">
        <v>138125.00000000003</v>
      </c>
      <c r="G43" s="56">
        <v>142293</v>
      </c>
      <c r="H43" s="56">
        <v>146497</v>
      </c>
      <c r="I43" s="56">
        <v>150597.00000000003</v>
      </c>
      <c r="J43" s="56">
        <v>154758</v>
      </c>
      <c r="K43" s="56">
        <v>158980.00000000003</v>
      </c>
      <c r="L43" s="56">
        <v>163276</v>
      </c>
      <c r="M43" s="56">
        <v>167651</v>
      </c>
      <c r="N43" s="56">
        <v>171960.99999999994</v>
      </c>
      <c r="O43" s="56">
        <v>176377.00000000003</v>
      </c>
      <c r="P43" s="56">
        <v>180893.99999999997</v>
      </c>
      <c r="Q43" s="56">
        <v>185502.00000000003</v>
      </c>
      <c r="R43" s="56">
        <v>190211.99999999997</v>
      </c>
      <c r="S43" s="56">
        <v>194864.00000000006</v>
      </c>
      <c r="T43" s="56">
        <v>199679.99999999997</v>
      </c>
      <c r="U43" s="56">
        <v>204634.00000000003</v>
      </c>
      <c r="V43" s="56">
        <v>209696.99999999994</v>
      </c>
      <c r="W43" s="56">
        <v>214852</v>
      </c>
      <c r="X43" s="56">
        <v>220125.99999999997</v>
      </c>
      <c r="Y43" s="56">
        <v>225458.99999999997</v>
      </c>
      <c r="Z43" s="56">
        <v>230879.99999999994</v>
      </c>
      <c r="AA43" s="56">
        <v>236430.00000000003</v>
      </c>
      <c r="AB43" s="56">
        <v>242109.00000000003</v>
      </c>
      <c r="AC43" s="56">
        <v>247798</v>
      </c>
      <c r="AD43" s="56">
        <v>253622</v>
      </c>
      <c r="AE43" s="56">
        <v>259527</v>
      </c>
      <c r="AF43" s="56">
        <v>265401.00000000006</v>
      </c>
      <c r="AG43" s="56">
        <v>271190.99999999994</v>
      </c>
    </row>
    <row r="44" spans="1:33" x14ac:dyDescent="0.3">
      <c r="A44" s="369" t="s">
        <v>62</v>
      </c>
      <c r="B44" s="370" t="s">
        <v>62</v>
      </c>
      <c r="C44" s="56">
        <v>772656.99999999977</v>
      </c>
      <c r="D44" s="56">
        <v>795850</v>
      </c>
      <c r="E44" s="56">
        <v>819652.00000000035</v>
      </c>
      <c r="F44" s="56">
        <v>844368.99999999988</v>
      </c>
      <c r="G44" s="56">
        <v>870452.99999999977</v>
      </c>
      <c r="H44" s="56">
        <v>898150</v>
      </c>
      <c r="I44" s="56">
        <v>929064.99999999988</v>
      </c>
      <c r="J44" s="56">
        <v>961612.00000000012</v>
      </c>
      <c r="K44" s="56">
        <v>994827.99999999977</v>
      </c>
      <c r="L44" s="56">
        <v>1027633</v>
      </c>
      <c r="M44" s="56">
        <v>1059291</v>
      </c>
      <c r="N44" s="56">
        <v>1082041</v>
      </c>
      <c r="O44" s="56">
        <v>1104028</v>
      </c>
      <c r="P44" s="56">
        <v>1125979</v>
      </c>
      <c r="Q44" s="56">
        <v>1148852</v>
      </c>
      <c r="R44" s="56">
        <v>1173456.0000000002</v>
      </c>
      <c r="S44" s="56">
        <v>1200982.0000000005</v>
      </c>
      <c r="T44" s="56">
        <v>1230534.9999999998</v>
      </c>
      <c r="U44" s="56">
        <v>1261947.9999999998</v>
      </c>
      <c r="V44" s="56">
        <v>1294873</v>
      </c>
      <c r="W44" s="56">
        <v>1329033.9999999998</v>
      </c>
      <c r="X44" s="56">
        <v>1365217</v>
      </c>
      <c r="Y44" s="56">
        <v>1402190.0000000002</v>
      </c>
      <c r="Z44" s="56">
        <v>1440187.9999999995</v>
      </c>
      <c r="AA44" s="56">
        <v>1479424.9999999998</v>
      </c>
      <c r="AB44" s="56">
        <v>1519877.9999999998</v>
      </c>
      <c r="AC44" s="56">
        <v>1560447</v>
      </c>
      <c r="AD44" s="56">
        <v>1602343.9999999995</v>
      </c>
      <c r="AE44" s="56">
        <v>1645220.9999999995</v>
      </c>
      <c r="AF44" s="56">
        <v>1688521.0000000002</v>
      </c>
      <c r="AG44" s="56">
        <v>1731973</v>
      </c>
    </row>
    <row r="45" spans="1:33" x14ac:dyDescent="0.3">
      <c r="A45" s="369" t="s">
        <v>380</v>
      </c>
      <c r="B45" s="370" t="s">
        <v>380</v>
      </c>
      <c r="C45" s="56">
        <v>1048492.9999999999</v>
      </c>
      <c r="D45" s="56">
        <v>1073715</v>
      </c>
      <c r="E45" s="56">
        <v>1098913</v>
      </c>
      <c r="F45" s="56">
        <v>1123593.0000000002</v>
      </c>
      <c r="G45" s="56">
        <v>1146923</v>
      </c>
      <c r="H45" s="56">
        <v>1168387</v>
      </c>
      <c r="I45" s="56">
        <v>1188627</v>
      </c>
      <c r="J45" s="56">
        <v>1206682</v>
      </c>
      <c r="K45" s="56">
        <v>1222778.0000000002</v>
      </c>
      <c r="L45" s="56">
        <v>1237352</v>
      </c>
      <c r="M45" s="56">
        <v>1250561</v>
      </c>
      <c r="N45" s="56">
        <v>1261378.9999999995</v>
      </c>
      <c r="O45" s="56">
        <v>1271103.9999999998</v>
      </c>
      <c r="P45" s="56">
        <v>1279687.9999999995</v>
      </c>
      <c r="Q45" s="56">
        <v>1287109</v>
      </c>
      <c r="R45" s="56">
        <v>1293477.9999999995</v>
      </c>
      <c r="S45" s="56">
        <v>1299399.9999999998</v>
      </c>
      <c r="T45" s="56">
        <v>1304621.0000000005</v>
      </c>
      <c r="U45" s="56">
        <v>1309298.9999999998</v>
      </c>
      <c r="V45" s="56">
        <v>1313796.9999999995</v>
      </c>
      <c r="W45" s="56">
        <v>1318317</v>
      </c>
      <c r="X45" s="56">
        <v>1323794.9999999998</v>
      </c>
      <c r="Y45" s="56">
        <v>1329322</v>
      </c>
      <c r="Z45" s="56">
        <v>1334620</v>
      </c>
      <c r="AA45" s="56">
        <v>1339176.0000000005</v>
      </c>
      <c r="AB45" s="56">
        <v>1342593</v>
      </c>
      <c r="AC45" s="56">
        <v>1345789.0000000002</v>
      </c>
      <c r="AD45" s="56">
        <v>1347889.9999999998</v>
      </c>
      <c r="AE45" s="56">
        <v>1348822.9999999998</v>
      </c>
      <c r="AF45" s="56">
        <v>1348525.9999999998</v>
      </c>
      <c r="AG45" s="56">
        <v>1346901.9999999998</v>
      </c>
    </row>
    <row r="46" spans="1:33" x14ac:dyDescent="0.3">
      <c r="A46" s="369" t="s">
        <v>63</v>
      </c>
      <c r="B46" s="370" t="s">
        <v>63</v>
      </c>
      <c r="C46" s="56">
        <v>3675518.0000000005</v>
      </c>
      <c r="D46" s="56">
        <v>3762594</v>
      </c>
      <c r="E46" s="56">
        <v>3847560</v>
      </c>
      <c r="F46" s="56">
        <v>3932830.9999999995</v>
      </c>
      <c r="G46" s="56">
        <v>4021884</v>
      </c>
      <c r="H46" s="56">
        <v>4117724.0000000009</v>
      </c>
      <c r="I46" s="56">
        <v>4220795.9999999991</v>
      </c>
      <c r="J46" s="56">
        <v>4332172.0000000009</v>
      </c>
      <c r="K46" s="56">
        <v>4451856.9999999991</v>
      </c>
      <c r="L46" s="56">
        <v>4579263.0000000009</v>
      </c>
      <c r="M46" s="56">
        <v>4713954.9999999991</v>
      </c>
      <c r="N46" s="56">
        <v>4858181.0000000009</v>
      </c>
      <c r="O46" s="56">
        <v>5008724.9999999972</v>
      </c>
      <c r="P46" s="56">
        <v>5166071</v>
      </c>
      <c r="Q46" s="56">
        <v>5330865</v>
      </c>
      <c r="R46" s="56">
        <v>5502908</v>
      </c>
      <c r="S46" s="56">
        <v>5673930.9999999991</v>
      </c>
      <c r="T46" s="56">
        <v>5853431.0000000009</v>
      </c>
      <c r="U46" s="56">
        <v>6039064.9999999991</v>
      </c>
      <c r="V46" s="56">
        <v>6227653</v>
      </c>
      <c r="W46" s="56">
        <v>6417561.0000000019</v>
      </c>
      <c r="X46" s="56">
        <v>6604871</v>
      </c>
      <c r="Y46" s="56">
        <v>6794924.0000000009</v>
      </c>
      <c r="Z46" s="56">
        <v>6987781.0000000019</v>
      </c>
      <c r="AA46" s="56">
        <v>7184253.9999999991</v>
      </c>
      <c r="AB46" s="56">
        <v>7384918</v>
      </c>
      <c r="AC46" s="56">
        <v>7585843.0000000028</v>
      </c>
      <c r="AD46" s="56">
        <v>7790710.9999999981</v>
      </c>
      <c r="AE46" s="56">
        <v>8000196</v>
      </c>
      <c r="AF46" s="56">
        <v>8215165.0000000028</v>
      </c>
      <c r="AG46" s="56">
        <v>8435908</v>
      </c>
    </row>
    <row r="47" spans="1:33" x14ac:dyDescent="0.3">
      <c r="A47" s="369" t="s">
        <v>347</v>
      </c>
      <c r="B47" s="370" t="s">
        <v>347</v>
      </c>
      <c r="C47" s="56">
        <v>1085384</v>
      </c>
      <c r="D47" s="56">
        <v>1076854.9999999998</v>
      </c>
      <c r="E47" s="56">
        <v>1071392.9999999998</v>
      </c>
      <c r="F47" s="56">
        <v>1067304.9999999998</v>
      </c>
      <c r="G47" s="56">
        <v>1062050.9999999998</v>
      </c>
      <c r="H47" s="56">
        <v>1054200.9999999998</v>
      </c>
      <c r="I47" s="56">
        <v>1043948.0000000001</v>
      </c>
      <c r="J47" s="56">
        <v>1030597.0000000002</v>
      </c>
      <c r="K47" s="56">
        <v>1015670.9999999999</v>
      </c>
      <c r="L47" s="56">
        <v>1001413.0000000001</v>
      </c>
      <c r="M47" s="56">
        <v>988813</v>
      </c>
      <c r="N47" s="56">
        <v>976344</v>
      </c>
      <c r="O47" s="56">
        <v>965742.99999999988</v>
      </c>
      <c r="P47" s="56">
        <v>955936.99999999988</v>
      </c>
      <c r="Q47" s="56">
        <v>945242.00000000012</v>
      </c>
      <c r="R47" s="56">
        <v>932781</v>
      </c>
      <c r="S47" s="56">
        <v>920754.99999999988</v>
      </c>
      <c r="T47" s="56">
        <v>906972.00000000012</v>
      </c>
      <c r="U47" s="56">
        <v>892507</v>
      </c>
      <c r="V47" s="56">
        <v>878995.99999999988</v>
      </c>
      <c r="W47" s="56">
        <v>867282</v>
      </c>
      <c r="X47" s="56">
        <v>858161</v>
      </c>
      <c r="Y47" s="56">
        <v>850792</v>
      </c>
      <c r="Z47" s="56">
        <v>844464.99999999988</v>
      </c>
      <c r="AA47" s="56">
        <v>837909.00000000012</v>
      </c>
      <c r="AB47" s="56">
        <v>830307.00000000035</v>
      </c>
      <c r="AC47" s="56">
        <v>821686.99999999988</v>
      </c>
      <c r="AD47" s="56">
        <v>812238</v>
      </c>
      <c r="AE47" s="56">
        <v>802118</v>
      </c>
      <c r="AF47" s="56">
        <v>791686</v>
      </c>
      <c r="AG47" s="56">
        <v>781163</v>
      </c>
    </row>
    <row r="48" spans="1:33" x14ac:dyDescent="0.3">
      <c r="A48" s="369" t="s">
        <v>369</v>
      </c>
      <c r="B48" s="370" t="s">
        <v>369</v>
      </c>
      <c r="C48" s="56">
        <v>3036497</v>
      </c>
      <c r="D48" s="56">
        <v>3038099.0000000005</v>
      </c>
      <c r="E48" s="56">
        <v>3044446.9999999995</v>
      </c>
      <c r="F48" s="56">
        <v>3052452</v>
      </c>
      <c r="G48" s="56">
        <v>3057178</v>
      </c>
      <c r="H48" s="56">
        <v>3056192.0000000009</v>
      </c>
      <c r="I48" s="56">
        <v>3050978.9999999995</v>
      </c>
      <c r="J48" s="56">
        <v>3040883.0000000005</v>
      </c>
      <c r="K48" s="56">
        <v>3025195</v>
      </c>
      <c r="L48" s="56">
        <v>3003093.9999999995</v>
      </c>
      <c r="M48" s="56">
        <v>2973642</v>
      </c>
      <c r="N48" s="56">
        <v>2943049.0000000005</v>
      </c>
      <c r="O48" s="56">
        <v>2904229.9999999991</v>
      </c>
      <c r="P48" s="56">
        <v>2859327.9999999995</v>
      </c>
      <c r="Q48" s="56">
        <v>2811784</v>
      </c>
      <c r="R48" s="56">
        <v>2763789</v>
      </c>
      <c r="S48" s="56">
        <v>2714644</v>
      </c>
      <c r="T48" s="56">
        <v>2667824.0000000005</v>
      </c>
      <c r="U48" s="56">
        <v>2621784</v>
      </c>
      <c r="V48" s="56">
        <v>2574010.9999999995</v>
      </c>
      <c r="W48" s="56">
        <v>2523750</v>
      </c>
      <c r="X48" s="56">
        <v>2478291.9999999995</v>
      </c>
      <c r="Y48" s="56">
        <v>2429795.9999999995</v>
      </c>
      <c r="Z48" s="56">
        <v>2382744</v>
      </c>
      <c r="AA48" s="56">
        <v>2343725.0000000009</v>
      </c>
      <c r="AB48" s="56">
        <v>2316156</v>
      </c>
      <c r="AC48" s="56">
        <v>2301096.0000000005</v>
      </c>
      <c r="AD48" s="56">
        <v>2297424</v>
      </c>
      <c r="AE48" s="56">
        <v>2300505</v>
      </c>
      <c r="AF48" s="56">
        <v>2302812.0000000005</v>
      </c>
      <c r="AG48" s="56">
        <v>2299524</v>
      </c>
    </row>
    <row r="49" spans="1:33" x14ac:dyDescent="0.3">
      <c r="A49" s="369" t="s">
        <v>370</v>
      </c>
      <c r="B49" s="370" t="s">
        <v>370</v>
      </c>
      <c r="C49" s="56">
        <v>34563</v>
      </c>
      <c r="D49" s="56">
        <v>34042</v>
      </c>
      <c r="E49" s="56">
        <v>33495</v>
      </c>
      <c r="F49" s="56">
        <v>33062</v>
      </c>
      <c r="G49" s="56">
        <v>32863.000000000007</v>
      </c>
      <c r="H49" s="56">
        <v>32925.000000000007</v>
      </c>
      <c r="I49" s="56">
        <v>33569.999999999985</v>
      </c>
      <c r="J49" s="56">
        <v>34523</v>
      </c>
      <c r="K49" s="56">
        <v>35637</v>
      </c>
      <c r="L49" s="56">
        <v>36648</v>
      </c>
      <c r="M49" s="56">
        <v>37376</v>
      </c>
      <c r="N49" s="56">
        <v>37813</v>
      </c>
      <c r="O49" s="56">
        <v>37911.000000000007</v>
      </c>
      <c r="P49" s="56">
        <v>37782</v>
      </c>
      <c r="Q49" s="56">
        <v>37576</v>
      </c>
      <c r="R49" s="56">
        <v>37389</v>
      </c>
      <c r="S49" s="56">
        <v>37248.999999999993</v>
      </c>
      <c r="T49" s="56">
        <v>37153</v>
      </c>
      <c r="U49" s="56">
        <v>37099</v>
      </c>
      <c r="V49" s="56">
        <v>37039</v>
      </c>
      <c r="W49" s="56">
        <v>36938.000000000007</v>
      </c>
      <c r="X49" s="56">
        <v>36894.999999999993</v>
      </c>
      <c r="Y49" s="56">
        <v>36797.000000000007</v>
      </c>
      <c r="Z49" s="56">
        <v>36694.000000000007</v>
      </c>
      <c r="AA49" s="56">
        <v>36638.999999999993</v>
      </c>
      <c r="AB49" s="56">
        <v>36648</v>
      </c>
      <c r="AC49" s="56">
        <v>36692.999999999993</v>
      </c>
      <c r="AD49" s="56">
        <v>36805.000000000007</v>
      </c>
      <c r="AE49" s="56">
        <v>36961.999999999993</v>
      </c>
      <c r="AF49" s="56">
        <v>37085</v>
      </c>
      <c r="AG49" s="56">
        <v>37139</v>
      </c>
    </row>
    <row r="50" spans="1:33" x14ac:dyDescent="0.3">
      <c r="A50" s="369" t="s">
        <v>314</v>
      </c>
      <c r="B50" s="370" t="s">
        <v>314</v>
      </c>
      <c r="C50" s="56">
        <v>243634</v>
      </c>
      <c r="D50" s="56">
        <v>248261</v>
      </c>
      <c r="E50" s="56">
        <v>252658.99999999994</v>
      </c>
      <c r="F50" s="56">
        <v>257040.00000000003</v>
      </c>
      <c r="G50" s="56">
        <v>261682.00000000009</v>
      </c>
      <c r="H50" s="56">
        <v>266647</v>
      </c>
      <c r="I50" s="56">
        <v>273116.99999999994</v>
      </c>
      <c r="J50" s="56">
        <v>280160</v>
      </c>
      <c r="K50" s="56">
        <v>287332.99999999994</v>
      </c>
      <c r="L50" s="56">
        <v>294091</v>
      </c>
      <c r="M50" s="56">
        <v>299993.00000000006</v>
      </c>
      <c r="N50" s="56">
        <v>302379</v>
      </c>
      <c r="O50" s="56">
        <v>304028</v>
      </c>
      <c r="P50" s="56">
        <v>305101.00000000012</v>
      </c>
      <c r="Q50" s="56">
        <v>305963.99999999994</v>
      </c>
      <c r="R50" s="56">
        <v>306894</v>
      </c>
      <c r="S50" s="56">
        <v>306387</v>
      </c>
      <c r="T50" s="56">
        <v>305891.99999999988</v>
      </c>
      <c r="U50" s="56">
        <v>305363</v>
      </c>
      <c r="V50" s="56">
        <v>304823.99999999994</v>
      </c>
      <c r="W50" s="56">
        <v>304259.99999999994</v>
      </c>
      <c r="X50" s="56">
        <v>303761.99999999994</v>
      </c>
      <c r="Y50" s="56">
        <v>303270.00000000006</v>
      </c>
      <c r="Z50" s="56">
        <v>302726</v>
      </c>
      <c r="AA50" s="56">
        <v>302030</v>
      </c>
      <c r="AB50" s="56">
        <v>301128.00000000006</v>
      </c>
      <c r="AC50" s="56">
        <v>300681</v>
      </c>
      <c r="AD50" s="56">
        <v>299994</v>
      </c>
      <c r="AE50" s="56">
        <v>299080</v>
      </c>
      <c r="AF50" s="56">
        <v>297994</v>
      </c>
      <c r="AG50" s="56">
        <v>296761</v>
      </c>
    </row>
    <row r="51" spans="1:33" x14ac:dyDescent="0.3">
      <c r="A51" s="369" t="s">
        <v>724</v>
      </c>
      <c r="B51" s="370" t="s">
        <v>724</v>
      </c>
      <c r="C51" s="56">
        <v>2610350.9999999991</v>
      </c>
      <c r="D51" s="56">
        <v>2594547.0000000005</v>
      </c>
      <c r="E51" s="56">
        <v>2575472.0000000005</v>
      </c>
      <c r="F51" s="56">
        <v>2556734.9999999995</v>
      </c>
      <c r="G51" s="56">
        <v>2542388</v>
      </c>
      <c r="H51" s="56">
        <v>2534037.0000000009</v>
      </c>
      <c r="I51" s="56">
        <v>2529897</v>
      </c>
      <c r="J51" s="56">
        <v>2533642</v>
      </c>
      <c r="K51" s="56">
        <v>2540408.9999999995</v>
      </c>
      <c r="L51" s="56">
        <v>2543729</v>
      </c>
      <c r="M51" s="56">
        <v>2540075.9999999995</v>
      </c>
      <c r="N51" s="56">
        <v>2526537.0000000005</v>
      </c>
      <c r="O51" s="56">
        <v>2508172.0000000009</v>
      </c>
      <c r="P51" s="56">
        <v>2486309.9999999995</v>
      </c>
      <c r="Q51" s="56">
        <v>2463818</v>
      </c>
      <c r="R51" s="56">
        <v>2442756</v>
      </c>
      <c r="S51" s="56">
        <v>2429926.0000000005</v>
      </c>
      <c r="T51" s="56">
        <v>2416528.0000000005</v>
      </c>
      <c r="U51" s="56">
        <v>2402817.0000000005</v>
      </c>
      <c r="V51" s="56">
        <v>2388591</v>
      </c>
      <c r="W51" s="56">
        <v>2373064.0000000005</v>
      </c>
      <c r="X51" s="56">
        <v>2354205</v>
      </c>
      <c r="Y51" s="56">
        <v>2335962</v>
      </c>
      <c r="Z51" s="56">
        <v>2316781.0000000005</v>
      </c>
      <c r="AA51" s="56">
        <v>2294446</v>
      </c>
      <c r="AB51" s="56">
        <v>2268160.0000000005</v>
      </c>
      <c r="AC51" s="56">
        <v>2241676</v>
      </c>
      <c r="AD51" s="56">
        <v>2211188.0000000005</v>
      </c>
      <c r="AE51" s="56">
        <v>2179327</v>
      </c>
      <c r="AF51" s="56">
        <v>2150322</v>
      </c>
      <c r="AG51" s="56">
        <v>2126538.9999999995</v>
      </c>
    </row>
    <row r="52" spans="1:33" x14ac:dyDescent="0.3">
      <c r="A52" s="369" t="s">
        <v>335</v>
      </c>
      <c r="B52" s="370" t="s">
        <v>335</v>
      </c>
      <c r="C52" s="56">
        <v>1254050.9999999998</v>
      </c>
      <c r="D52" s="56">
        <v>1248021.9999999998</v>
      </c>
      <c r="E52" s="56">
        <v>1242952.9999999998</v>
      </c>
      <c r="F52" s="56">
        <v>1239206.0000000002</v>
      </c>
      <c r="G52" s="56">
        <v>1237088</v>
      </c>
      <c r="H52" s="56">
        <v>1236639</v>
      </c>
      <c r="I52" s="56">
        <v>1239141</v>
      </c>
      <c r="J52" s="56">
        <v>1243495.0000000002</v>
      </c>
      <c r="K52" s="56">
        <v>1248691.0000000005</v>
      </c>
      <c r="L52" s="56">
        <v>1253495</v>
      </c>
      <c r="M52" s="56">
        <v>1257181.0000000002</v>
      </c>
      <c r="N52" s="56">
        <v>1258524.9999999998</v>
      </c>
      <c r="O52" s="56">
        <v>1260715</v>
      </c>
      <c r="P52" s="56">
        <v>1263173</v>
      </c>
      <c r="Q52" s="56">
        <v>1264962.0000000002</v>
      </c>
      <c r="R52" s="56">
        <v>1265170.9999999998</v>
      </c>
      <c r="S52" s="56">
        <v>1263680.9999999998</v>
      </c>
      <c r="T52" s="56">
        <v>1259394.9999999998</v>
      </c>
      <c r="U52" s="56">
        <v>1253900.9999999998</v>
      </c>
      <c r="V52" s="56">
        <v>1249483</v>
      </c>
      <c r="W52" s="56">
        <v>1247209</v>
      </c>
      <c r="X52" s="56">
        <v>1245464</v>
      </c>
      <c r="Y52" s="56">
        <v>1246634.0000000002</v>
      </c>
      <c r="Z52" s="56">
        <v>1249359.9999999998</v>
      </c>
      <c r="AA52" s="56">
        <v>1251487.0000000005</v>
      </c>
      <c r="AB52" s="56">
        <v>1251863</v>
      </c>
      <c r="AC52" s="56">
        <v>1251889</v>
      </c>
      <c r="AD52" s="56">
        <v>1250644.9999999998</v>
      </c>
      <c r="AE52" s="56">
        <v>1248858.0000000002</v>
      </c>
      <c r="AF52" s="56">
        <v>1247997.9999999998</v>
      </c>
      <c r="AG52" s="56">
        <v>1248879</v>
      </c>
    </row>
    <row r="53" spans="1:33" x14ac:dyDescent="0.3">
      <c r="A53" s="369" t="s">
        <v>64</v>
      </c>
      <c r="B53" s="370" t="s">
        <v>64</v>
      </c>
      <c r="C53" s="56">
        <v>174111.99999999997</v>
      </c>
      <c r="D53" s="56">
        <v>179334</v>
      </c>
      <c r="E53" s="56">
        <v>184991</v>
      </c>
      <c r="F53" s="56">
        <v>190649.99999999997</v>
      </c>
      <c r="G53" s="56">
        <v>195701.00000000003</v>
      </c>
      <c r="H53" s="56">
        <v>199920.00000000003</v>
      </c>
      <c r="I53" s="56">
        <v>204645.00000000003</v>
      </c>
      <c r="J53" s="56">
        <v>208312</v>
      </c>
      <c r="K53" s="56">
        <v>211453</v>
      </c>
      <c r="L53" s="56">
        <v>214690.99999999997</v>
      </c>
      <c r="M53" s="56">
        <v>218332.00000000003</v>
      </c>
      <c r="N53" s="56">
        <v>221747</v>
      </c>
      <c r="O53" s="56">
        <v>225715.99999999991</v>
      </c>
      <c r="P53" s="56">
        <v>230012</v>
      </c>
      <c r="Q53" s="56">
        <v>234471.00000000003</v>
      </c>
      <c r="R53" s="56">
        <v>238947.99999999997</v>
      </c>
      <c r="S53" s="56">
        <v>242297.99999999988</v>
      </c>
      <c r="T53" s="56">
        <v>246196</v>
      </c>
      <c r="U53" s="56">
        <v>250263.00000000003</v>
      </c>
      <c r="V53" s="56">
        <v>253972</v>
      </c>
      <c r="W53" s="56">
        <v>257107.99999999994</v>
      </c>
      <c r="X53" s="56">
        <v>260550</v>
      </c>
      <c r="Y53" s="56">
        <v>263217.99999999994</v>
      </c>
      <c r="Z53" s="56">
        <v>265465.00000000006</v>
      </c>
      <c r="AA53" s="56">
        <v>267876</v>
      </c>
      <c r="AB53" s="56">
        <v>270724</v>
      </c>
      <c r="AC53" s="56">
        <v>273650.00000000012</v>
      </c>
      <c r="AD53" s="56">
        <v>276942</v>
      </c>
      <c r="AE53" s="56">
        <v>280450.99999999994</v>
      </c>
      <c r="AF53" s="56">
        <v>283822</v>
      </c>
      <c r="AG53" s="56">
        <v>286848.00000000006</v>
      </c>
    </row>
    <row r="54" spans="1:33" x14ac:dyDescent="0.3">
      <c r="A54" s="369" t="s">
        <v>179</v>
      </c>
      <c r="B54" s="370" t="s">
        <v>179</v>
      </c>
      <c r="C54" s="56">
        <v>2208453.9999999995</v>
      </c>
      <c r="D54" s="56">
        <v>2245397</v>
      </c>
      <c r="E54" s="56">
        <v>2278959</v>
      </c>
      <c r="F54" s="56">
        <v>2310466.9999999995</v>
      </c>
      <c r="G54" s="56">
        <v>2341663.0000000005</v>
      </c>
      <c r="H54" s="56">
        <v>2373563</v>
      </c>
      <c r="I54" s="56">
        <v>2409526</v>
      </c>
      <c r="J54" s="56">
        <v>2446727.0000000009</v>
      </c>
      <c r="K54" s="56">
        <v>2484578.9999999991</v>
      </c>
      <c r="L54" s="56">
        <v>2521745.9999999995</v>
      </c>
      <c r="M54" s="56">
        <v>2557156.0000000005</v>
      </c>
      <c r="N54" s="56">
        <v>2590709.0000000005</v>
      </c>
      <c r="O54" s="56">
        <v>2621629.9999999995</v>
      </c>
      <c r="P54" s="56">
        <v>2650226.9999999991</v>
      </c>
      <c r="Q54" s="56">
        <v>2677150.0000000005</v>
      </c>
      <c r="R54" s="56">
        <v>2702863</v>
      </c>
      <c r="S54" s="56">
        <v>2727986.9999999991</v>
      </c>
      <c r="T54" s="56">
        <v>2751819</v>
      </c>
      <c r="U54" s="56">
        <v>2774307</v>
      </c>
      <c r="V54" s="56">
        <v>2795402.0000000009</v>
      </c>
      <c r="W54" s="56">
        <v>2815193.9999999991</v>
      </c>
      <c r="X54" s="56">
        <v>2835448.9999999991</v>
      </c>
      <c r="Y54" s="56">
        <v>2854562.0000000009</v>
      </c>
      <c r="Z54" s="56">
        <v>2872616.9999999991</v>
      </c>
      <c r="AA54" s="56">
        <v>2889691.9999999995</v>
      </c>
      <c r="AB54" s="56">
        <v>2905909.0000000009</v>
      </c>
      <c r="AC54" s="56">
        <v>2924011.9999999991</v>
      </c>
      <c r="AD54" s="56">
        <v>2940707</v>
      </c>
      <c r="AE54" s="56">
        <v>2956302</v>
      </c>
      <c r="AF54" s="56">
        <v>2971131.9999999995</v>
      </c>
      <c r="AG54" s="56">
        <v>2985279.9999999995</v>
      </c>
    </row>
    <row r="55" spans="1:33" x14ac:dyDescent="0.3">
      <c r="A55" s="369" t="s">
        <v>725</v>
      </c>
      <c r="B55" s="370" t="s">
        <v>115</v>
      </c>
      <c r="C55" s="56">
        <v>6115131.0000000009</v>
      </c>
      <c r="D55" s="56">
        <v>6200396.9999999991</v>
      </c>
      <c r="E55" s="56">
        <v>6295758</v>
      </c>
      <c r="F55" s="56">
        <v>6391400.0000000009</v>
      </c>
      <c r="G55" s="56">
        <v>6473949.0000000028</v>
      </c>
      <c r="H55" s="56">
        <v>6534721.0000000009</v>
      </c>
      <c r="I55" s="56">
        <v>6570749</v>
      </c>
      <c r="J55" s="56">
        <v>6586216</v>
      </c>
      <c r="K55" s="56">
        <v>6589325</v>
      </c>
      <c r="L55" s="56">
        <v>6592923</v>
      </c>
      <c r="M55" s="56">
        <v>6605279.0000000009</v>
      </c>
      <c r="N55" s="56">
        <v>6632483.0000000009</v>
      </c>
      <c r="O55" s="56">
        <v>6664054.0000000019</v>
      </c>
      <c r="P55" s="56">
        <v>6693892.9999999991</v>
      </c>
      <c r="Q55" s="56">
        <v>6711958</v>
      </c>
      <c r="R55" s="56">
        <v>6711210</v>
      </c>
      <c r="S55" s="56">
        <v>6689358</v>
      </c>
      <c r="T55" s="56">
        <v>6653618.9999999991</v>
      </c>
      <c r="U55" s="56">
        <v>6605527</v>
      </c>
      <c r="V55" s="56">
        <v>6548199</v>
      </c>
      <c r="W55" s="56">
        <v>6485154.9999999981</v>
      </c>
      <c r="X55" s="56">
        <v>6420833.0000000009</v>
      </c>
      <c r="Y55" s="56">
        <v>6351027</v>
      </c>
      <c r="Z55" s="56">
        <v>6282536</v>
      </c>
      <c r="AA55" s="56">
        <v>6225884</v>
      </c>
      <c r="AB55" s="56">
        <v>6187415.0000000009</v>
      </c>
      <c r="AC55" s="56">
        <v>6171000.9999999991</v>
      </c>
      <c r="AD55" s="56">
        <v>6173396</v>
      </c>
      <c r="AE55" s="56">
        <v>6187276.0000000019</v>
      </c>
      <c r="AF55" s="56">
        <v>6200376</v>
      </c>
      <c r="AG55" s="56">
        <v>6204736.0000000009</v>
      </c>
    </row>
    <row r="56" spans="1:33" x14ac:dyDescent="0.3">
      <c r="A56" s="369" t="s">
        <v>726</v>
      </c>
      <c r="B56" s="370" t="s">
        <v>178</v>
      </c>
      <c r="C56" s="56">
        <v>10551786.000000002</v>
      </c>
      <c r="D56" s="56">
        <v>10834081</v>
      </c>
      <c r="E56" s="56">
        <v>11150786</v>
      </c>
      <c r="F56" s="56">
        <v>11496630</v>
      </c>
      <c r="G56" s="56">
        <v>11865256.999999998</v>
      </c>
      <c r="H56" s="56">
        <v>12252203.999999998</v>
      </c>
      <c r="I56" s="56">
        <v>12626350.000000004</v>
      </c>
      <c r="J56" s="56">
        <v>13027661.000000002</v>
      </c>
      <c r="K56" s="56">
        <v>13452489.999999996</v>
      </c>
      <c r="L56" s="56">
        <v>13897226.999999998</v>
      </c>
      <c r="M56" s="56">
        <v>14360400.000000002</v>
      </c>
      <c r="N56" s="56">
        <v>14815756</v>
      </c>
      <c r="O56" s="56">
        <v>15296285.999999998</v>
      </c>
      <c r="P56" s="56">
        <v>15801738.000000002</v>
      </c>
      <c r="Q56" s="56">
        <v>16333785.999999998</v>
      </c>
      <c r="R56" s="56">
        <v>16894124.999999996</v>
      </c>
      <c r="S56" s="56">
        <v>17458214</v>
      </c>
      <c r="T56" s="56">
        <v>18057495</v>
      </c>
      <c r="U56" s="56">
        <v>18689601.999999996</v>
      </c>
      <c r="V56" s="56">
        <v>19352020</v>
      </c>
      <c r="W56" s="56">
        <v>20043800.000000004</v>
      </c>
      <c r="X56" s="56">
        <v>20746893</v>
      </c>
      <c r="Y56" s="56">
        <v>21480607</v>
      </c>
      <c r="Z56" s="56">
        <v>22245686.999999996</v>
      </c>
      <c r="AA56" s="56">
        <v>23043266.999999996</v>
      </c>
      <c r="AB56" s="56">
        <v>23873151</v>
      </c>
      <c r="AC56" s="56">
        <v>24709519.000000004</v>
      </c>
      <c r="AD56" s="56">
        <v>25579760</v>
      </c>
      <c r="AE56" s="56">
        <v>26480423.999999993</v>
      </c>
      <c r="AF56" s="56">
        <v>27406602.000000007</v>
      </c>
      <c r="AG56" s="56">
        <v>28354802.000000011</v>
      </c>
    </row>
    <row r="57" spans="1:33" x14ac:dyDescent="0.3">
      <c r="A57" s="369" t="s">
        <v>182</v>
      </c>
      <c r="B57" s="370" t="s">
        <v>182</v>
      </c>
      <c r="C57" s="56">
        <v>3270070</v>
      </c>
      <c r="D57" s="56">
        <v>3333709.0000000005</v>
      </c>
      <c r="E57" s="56">
        <v>3396484</v>
      </c>
      <c r="F57" s="56">
        <v>3458711.9999999995</v>
      </c>
      <c r="G57" s="56">
        <v>3520803.9999999986</v>
      </c>
      <c r="H57" s="56">
        <v>3583258.0000000009</v>
      </c>
      <c r="I57" s="56">
        <v>3651962</v>
      </c>
      <c r="J57" s="56">
        <v>3720203</v>
      </c>
      <c r="K57" s="56">
        <v>3788116.0000000009</v>
      </c>
      <c r="L57" s="56">
        <v>3855802.9999999986</v>
      </c>
      <c r="M57" s="56">
        <v>3922924.0000000005</v>
      </c>
      <c r="N57" s="56">
        <v>3989311.0000000005</v>
      </c>
      <c r="O57" s="56">
        <v>4054520.0000000009</v>
      </c>
      <c r="P57" s="56">
        <v>4119406.9999999991</v>
      </c>
      <c r="Q57" s="56">
        <v>4184834.9999999991</v>
      </c>
      <c r="R57" s="56">
        <v>4251235</v>
      </c>
      <c r="S57" s="56">
        <v>4325892.0000000009</v>
      </c>
      <c r="T57" s="56">
        <v>4402847.0000000009</v>
      </c>
      <c r="U57" s="56">
        <v>4478879.9999999991</v>
      </c>
      <c r="V57" s="56">
        <v>4550155.9999999991</v>
      </c>
      <c r="W57" s="56">
        <v>4614202</v>
      </c>
      <c r="X57" s="56">
        <v>4661576</v>
      </c>
      <c r="Y57" s="56">
        <v>4701683</v>
      </c>
      <c r="Z57" s="56">
        <v>4736863.0000000019</v>
      </c>
      <c r="AA57" s="56">
        <v>4770420</v>
      </c>
      <c r="AB57" s="56">
        <v>4804603</v>
      </c>
      <c r="AC57" s="56">
        <v>4845094.9999999991</v>
      </c>
      <c r="AD57" s="56">
        <v>4885647.9999999991</v>
      </c>
      <c r="AE57" s="56">
        <v>4926063.9999999991</v>
      </c>
      <c r="AF57" s="56">
        <v>4965735.0000000009</v>
      </c>
      <c r="AG57" s="56">
        <v>5003997.0000000009</v>
      </c>
    </row>
    <row r="58" spans="1:33" x14ac:dyDescent="0.3">
      <c r="A58" s="369" t="s">
        <v>65</v>
      </c>
      <c r="B58" s="370" t="s">
        <v>65</v>
      </c>
      <c r="C58" s="56">
        <v>16829404</v>
      </c>
      <c r="D58" s="56">
        <v>17312181</v>
      </c>
      <c r="E58" s="56">
        <v>17838693.000000004</v>
      </c>
      <c r="F58" s="56">
        <v>18385132</v>
      </c>
      <c r="G58" s="56">
        <v>18913875.000000004</v>
      </c>
      <c r="H58" s="56">
        <v>19404327.999999996</v>
      </c>
      <c r="I58" s="56">
        <v>19862969</v>
      </c>
      <c r="J58" s="56">
        <v>20284237</v>
      </c>
      <c r="K58" s="56">
        <v>20681688</v>
      </c>
      <c r="L58" s="56">
        <v>21074316.999999996</v>
      </c>
      <c r="M58" s="56">
        <v>21470392.000000004</v>
      </c>
      <c r="N58" s="56">
        <v>21883065.000000007</v>
      </c>
      <c r="O58" s="56">
        <v>22276652.000000007</v>
      </c>
      <c r="P58" s="56">
        <v>22658482</v>
      </c>
      <c r="Q58" s="56">
        <v>23042769.000000004</v>
      </c>
      <c r="R58" s="56">
        <v>23436009</v>
      </c>
      <c r="S58" s="56">
        <v>23759631</v>
      </c>
      <c r="T58" s="56">
        <v>24140243.999999996</v>
      </c>
      <c r="U58" s="56">
        <v>24546863.000000004</v>
      </c>
      <c r="V58" s="56">
        <v>24938352</v>
      </c>
      <c r="W58" s="56">
        <v>25300812</v>
      </c>
      <c r="X58" s="56">
        <v>25724119.999999993</v>
      </c>
      <c r="Y58" s="56">
        <v>26098320.000000004</v>
      </c>
      <c r="Z58" s="56">
        <v>26459775.999999993</v>
      </c>
      <c r="AA58" s="56">
        <v>26862410</v>
      </c>
      <c r="AB58" s="56">
        <v>27330043.999999996</v>
      </c>
      <c r="AC58" s="56">
        <v>27836450</v>
      </c>
      <c r="AD58" s="56">
        <v>28397966</v>
      </c>
      <c r="AE58" s="56">
        <v>28996571.000000007</v>
      </c>
      <c r="AF58" s="56">
        <v>29593348</v>
      </c>
      <c r="AG58" s="56">
        <v>30163242.999999996</v>
      </c>
    </row>
    <row r="59" spans="1:33" x14ac:dyDescent="0.3">
      <c r="A59" s="369" t="s">
        <v>184</v>
      </c>
      <c r="B59" s="370" t="s">
        <v>184</v>
      </c>
      <c r="C59" s="56">
        <v>1516115.9999999995</v>
      </c>
      <c r="D59" s="56">
        <v>1530781.9999999998</v>
      </c>
      <c r="E59" s="56">
        <v>1544801.9999999998</v>
      </c>
      <c r="F59" s="56">
        <v>1558690.0000000002</v>
      </c>
      <c r="G59" s="56">
        <v>1573069</v>
      </c>
      <c r="H59" s="56">
        <v>1588365.0000000002</v>
      </c>
      <c r="I59" s="56">
        <v>1608431</v>
      </c>
      <c r="J59" s="56">
        <v>1627642.9999999995</v>
      </c>
      <c r="K59" s="56">
        <v>1646607</v>
      </c>
      <c r="L59" s="56">
        <v>1665931</v>
      </c>
      <c r="M59" s="56">
        <v>1685699</v>
      </c>
      <c r="N59" s="56">
        <v>1705137</v>
      </c>
      <c r="O59" s="56">
        <v>1725677.9999999998</v>
      </c>
      <c r="P59" s="56">
        <v>1745958.9999999995</v>
      </c>
      <c r="Q59" s="56">
        <v>1764001.0000000007</v>
      </c>
      <c r="R59" s="56">
        <v>1778879.0000000005</v>
      </c>
      <c r="S59" s="56">
        <v>1792945</v>
      </c>
      <c r="T59" s="56">
        <v>1803757.9999999998</v>
      </c>
      <c r="U59" s="56">
        <v>1811762</v>
      </c>
      <c r="V59" s="56">
        <v>1818171.0000000002</v>
      </c>
      <c r="W59" s="56">
        <v>1823760.0000000002</v>
      </c>
      <c r="X59" s="56">
        <v>1829436.9999999995</v>
      </c>
      <c r="Y59" s="56">
        <v>1834401.9999999995</v>
      </c>
      <c r="Z59" s="56">
        <v>1838446.9999999998</v>
      </c>
      <c r="AA59" s="56">
        <v>1841237.0000000005</v>
      </c>
      <c r="AB59" s="56">
        <v>1842744</v>
      </c>
      <c r="AC59" s="56">
        <v>1845418.0000000002</v>
      </c>
      <c r="AD59" s="56">
        <v>1846806</v>
      </c>
      <c r="AE59" s="56">
        <v>1847226.9999999998</v>
      </c>
      <c r="AF59" s="56">
        <v>1847197</v>
      </c>
      <c r="AG59" s="56">
        <v>1847006</v>
      </c>
    </row>
    <row r="60" spans="1:33" x14ac:dyDescent="0.3">
      <c r="A60" s="369" t="s">
        <v>292</v>
      </c>
      <c r="B60" s="370" t="s">
        <v>292</v>
      </c>
      <c r="C60" s="56">
        <v>136270</v>
      </c>
      <c r="D60" s="56">
        <v>142025.99999999997</v>
      </c>
      <c r="E60" s="56">
        <v>147975.99999999997</v>
      </c>
      <c r="F60" s="56">
        <v>154065</v>
      </c>
      <c r="G60" s="56">
        <v>160362.99999999997</v>
      </c>
      <c r="H60" s="56">
        <v>166981.99999999997</v>
      </c>
      <c r="I60" s="56">
        <v>174410.99999999997</v>
      </c>
      <c r="J60" s="56">
        <v>182276.99999999997</v>
      </c>
      <c r="K60" s="56">
        <v>190448</v>
      </c>
      <c r="L60" s="56">
        <v>198948.00000000003</v>
      </c>
      <c r="M60" s="56">
        <v>207839</v>
      </c>
      <c r="N60" s="56">
        <v>217031.99999999997</v>
      </c>
      <c r="O60" s="56">
        <v>226835.99999999997</v>
      </c>
      <c r="P60" s="56">
        <v>236972.99999999994</v>
      </c>
      <c r="Q60" s="56">
        <v>247273</v>
      </c>
      <c r="R60" s="56">
        <v>257727.00000000009</v>
      </c>
      <c r="S60" s="56">
        <v>267668.99999999994</v>
      </c>
      <c r="T60" s="56">
        <v>278160.00000000006</v>
      </c>
      <c r="U60" s="56">
        <v>289024.99999999988</v>
      </c>
      <c r="V60" s="56">
        <v>300287</v>
      </c>
      <c r="W60" s="56">
        <v>312039</v>
      </c>
      <c r="X60" s="56">
        <v>322548.00000000006</v>
      </c>
      <c r="Y60" s="56">
        <v>333974.99999999988</v>
      </c>
      <c r="Z60" s="56">
        <v>346189.00000000006</v>
      </c>
      <c r="AA60" s="56">
        <v>359099.00000000017</v>
      </c>
      <c r="AB60" s="56">
        <v>372650.00000000006</v>
      </c>
      <c r="AC60" s="56">
        <v>385162.00000000017</v>
      </c>
      <c r="AD60" s="56">
        <v>398273.99999999988</v>
      </c>
      <c r="AE60" s="56">
        <v>411871.00000000012</v>
      </c>
      <c r="AF60" s="56">
        <v>425842.00000000012</v>
      </c>
      <c r="AG60" s="56">
        <v>440108.00000000017</v>
      </c>
    </row>
    <row r="61" spans="1:33" x14ac:dyDescent="0.3">
      <c r="A61" s="369" t="s">
        <v>66</v>
      </c>
      <c r="B61" s="370" t="s">
        <v>66</v>
      </c>
      <c r="C61" s="56">
        <v>476921.00000000012</v>
      </c>
      <c r="D61" s="56">
        <v>515923</v>
      </c>
      <c r="E61" s="56">
        <v>560156</v>
      </c>
      <c r="F61" s="56">
        <v>607610</v>
      </c>
      <c r="G61" s="56">
        <v>654951</v>
      </c>
      <c r="H61" s="56">
        <v>698903.00000000012</v>
      </c>
      <c r="I61" s="56">
        <v>722771.00000000023</v>
      </c>
      <c r="J61" s="56">
        <v>742969.99999999965</v>
      </c>
      <c r="K61" s="56">
        <v>759336</v>
      </c>
      <c r="L61" s="56">
        <v>772046.00000000012</v>
      </c>
      <c r="M61" s="56">
        <v>781762</v>
      </c>
      <c r="N61" s="56">
        <v>781077.99999999988</v>
      </c>
      <c r="O61" s="56">
        <v>778611.99999999988</v>
      </c>
      <c r="P61" s="56">
        <v>775505.00000000012</v>
      </c>
      <c r="Q61" s="56">
        <v>773194.00000000012</v>
      </c>
      <c r="R61" s="56">
        <v>772814.99999999988</v>
      </c>
      <c r="S61" s="56">
        <v>784682.00000000012</v>
      </c>
      <c r="T61" s="56">
        <v>796108</v>
      </c>
      <c r="U61" s="56">
        <v>808522.99999999977</v>
      </c>
      <c r="V61" s="56">
        <v>823546.00000000035</v>
      </c>
      <c r="W61" s="56">
        <v>841597</v>
      </c>
      <c r="X61" s="56">
        <v>861541</v>
      </c>
      <c r="Y61" s="56">
        <v>885756.99999999977</v>
      </c>
      <c r="Z61" s="56">
        <v>912781</v>
      </c>
      <c r="AA61" s="56">
        <v>940196</v>
      </c>
      <c r="AB61" s="56">
        <v>966681.99999999953</v>
      </c>
      <c r="AC61" s="56">
        <v>994695</v>
      </c>
      <c r="AD61" s="56">
        <v>1021501.0000000001</v>
      </c>
      <c r="AE61" s="56">
        <v>1047411.9999999998</v>
      </c>
      <c r="AF61" s="56">
        <v>1073389.0000000002</v>
      </c>
      <c r="AG61" s="56">
        <v>1099841.9999999993</v>
      </c>
    </row>
    <row r="62" spans="1:33" x14ac:dyDescent="0.3">
      <c r="A62" s="369" t="s">
        <v>336</v>
      </c>
      <c r="B62" s="370" t="s">
        <v>336</v>
      </c>
      <c r="C62" s="56">
        <v>347751.99999999994</v>
      </c>
      <c r="D62" s="56">
        <v>346395.99999999994</v>
      </c>
      <c r="E62" s="56">
        <v>344847</v>
      </c>
      <c r="F62" s="56">
        <v>343087.00000000006</v>
      </c>
      <c r="G62" s="56">
        <v>340984</v>
      </c>
      <c r="H62" s="56">
        <v>338430.99999999988</v>
      </c>
      <c r="I62" s="56">
        <v>334492.99999999988</v>
      </c>
      <c r="J62" s="56">
        <v>330324</v>
      </c>
      <c r="K62" s="56">
        <v>325845</v>
      </c>
      <c r="L62" s="56">
        <v>321053</v>
      </c>
      <c r="M62" s="56">
        <v>316008.00000000006</v>
      </c>
      <c r="N62" s="56">
        <v>310675.00000000006</v>
      </c>
      <c r="O62" s="56">
        <v>305269</v>
      </c>
      <c r="P62" s="56">
        <v>299972.00000000006</v>
      </c>
      <c r="Q62" s="56">
        <v>295077.00000000006</v>
      </c>
      <c r="R62" s="56">
        <v>290768</v>
      </c>
      <c r="S62" s="56">
        <v>288225.99999999994</v>
      </c>
      <c r="T62" s="56">
        <v>286388</v>
      </c>
      <c r="U62" s="56">
        <v>285145.99999999994</v>
      </c>
      <c r="V62" s="56">
        <v>284079</v>
      </c>
      <c r="W62" s="56">
        <v>282666</v>
      </c>
      <c r="X62" s="56">
        <v>280419</v>
      </c>
      <c r="Y62" s="56">
        <v>277556</v>
      </c>
      <c r="Z62" s="56">
        <v>274418</v>
      </c>
      <c r="AA62" s="56">
        <v>271457.99999999994</v>
      </c>
      <c r="AB62" s="56">
        <v>268924.00000000006</v>
      </c>
      <c r="AC62" s="56">
        <v>266786.00000000006</v>
      </c>
      <c r="AD62" s="56">
        <v>265105</v>
      </c>
      <c r="AE62" s="56">
        <v>263617</v>
      </c>
      <c r="AF62" s="56">
        <v>261969.00000000006</v>
      </c>
      <c r="AG62" s="56">
        <v>259935.99999999997</v>
      </c>
    </row>
    <row r="63" spans="1:33" x14ac:dyDescent="0.3">
      <c r="A63" s="369" t="s">
        <v>32</v>
      </c>
      <c r="B63" s="370" t="s">
        <v>32</v>
      </c>
      <c r="C63" s="56">
        <v>14617927.999999994</v>
      </c>
      <c r="D63" s="56">
        <v>15023273.000000004</v>
      </c>
      <c r="E63" s="56">
        <v>15456475.999999994</v>
      </c>
      <c r="F63" s="56">
        <v>15909421.999999998</v>
      </c>
      <c r="G63" s="56">
        <v>16375919.000000002</v>
      </c>
      <c r="H63" s="56">
        <v>16859738.000000004</v>
      </c>
      <c r="I63" s="56">
        <v>17389975.000000004</v>
      </c>
      <c r="J63" s="56">
        <v>17948394</v>
      </c>
      <c r="K63" s="56">
        <v>18545184.000000004</v>
      </c>
      <c r="L63" s="56">
        <v>19189877.999999996</v>
      </c>
      <c r="M63" s="56">
        <v>19883755</v>
      </c>
      <c r="N63" s="56">
        <v>20659480.000000004</v>
      </c>
      <c r="O63" s="56">
        <v>21475992.999999989</v>
      </c>
      <c r="P63" s="56">
        <v>22326082.000000004</v>
      </c>
      <c r="Q63" s="56">
        <v>23198828.999999996</v>
      </c>
      <c r="R63" s="56">
        <v>24084767.000000004</v>
      </c>
      <c r="S63" s="56">
        <v>24949200.999999996</v>
      </c>
      <c r="T63" s="56">
        <v>25832132</v>
      </c>
      <c r="U63" s="56">
        <v>26725476</v>
      </c>
      <c r="V63" s="56">
        <v>27620497.999999993</v>
      </c>
      <c r="W63" s="56">
        <v>28513252</v>
      </c>
      <c r="X63" s="56">
        <v>29394050.000000004</v>
      </c>
      <c r="Y63" s="56">
        <v>30272810.999999993</v>
      </c>
      <c r="Z63" s="56">
        <v>31152684.999999996</v>
      </c>
      <c r="AA63" s="56">
        <v>32042075.999999993</v>
      </c>
      <c r="AB63" s="56">
        <v>32945953.000000015</v>
      </c>
      <c r="AC63" s="56">
        <v>33859303</v>
      </c>
      <c r="AD63" s="56">
        <v>34787445</v>
      </c>
      <c r="AE63" s="56">
        <v>35726054.999999993</v>
      </c>
      <c r="AF63" s="56">
        <v>36667902</v>
      </c>
      <c r="AG63" s="56">
        <v>37608413.999999993</v>
      </c>
    </row>
    <row r="64" spans="1:33" x14ac:dyDescent="0.3">
      <c r="A64" s="369" t="s">
        <v>397</v>
      </c>
      <c r="B64" s="370" t="s">
        <v>397</v>
      </c>
      <c r="C64" s="56">
        <v>208391.00000000009</v>
      </c>
      <c r="D64" s="56">
        <v>211610.99999999997</v>
      </c>
      <c r="E64" s="56">
        <v>213814.99999999997</v>
      </c>
      <c r="F64" s="56">
        <v>215451</v>
      </c>
      <c r="G64" s="56">
        <v>217043.99999999997</v>
      </c>
      <c r="H64" s="56">
        <v>218763</v>
      </c>
      <c r="I64" s="56">
        <v>219188.00000000003</v>
      </c>
      <c r="J64" s="56">
        <v>220495.99999999997</v>
      </c>
      <c r="K64" s="56">
        <v>222374.00000000006</v>
      </c>
      <c r="L64" s="56">
        <v>224225</v>
      </c>
      <c r="M64" s="56">
        <v>225574.99999999997</v>
      </c>
      <c r="N64" s="56">
        <v>225224</v>
      </c>
      <c r="O64" s="56">
        <v>224175</v>
      </c>
      <c r="P64" s="56">
        <v>222571.99999999991</v>
      </c>
      <c r="Q64" s="56">
        <v>220856</v>
      </c>
      <c r="R64" s="56">
        <v>219490</v>
      </c>
      <c r="S64" s="56">
        <v>219472.99999999997</v>
      </c>
      <c r="T64" s="56">
        <v>219871</v>
      </c>
      <c r="U64" s="56">
        <v>220750</v>
      </c>
      <c r="V64" s="56">
        <v>222065.99999999997</v>
      </c>
      <c r="W64" s="56">
        <v>223665.99999999997</v>
      </c>
      <c r="X64" s="56">
        <v>224770.99999999997</v>
      </c>
      <c r="Y64" s="56">
        <v>226111.00000000006</v>
      </c>
      <c r="Z64" s="56">
        <v>227622.00000000006</v>
      </c>
      <c r="AA64" s="56">
        <v>229200</v>
      </c>
      <c r="AB64" s="56">
        <v>230815.99999999997</v>
      </c>
      <c r="AC64" s="56">
        <v>232928.99999999997</v>
      </c>
      <c r="AD64" s="56">
        <v>235093.99999999997</v>
      </c>
      <c r="AE64" s="56">
        <v>237213</v>
      </c>
      <c r="AF64" s="56">
        <v>239159</v>
      </c>
      <c r="AG64" s="56">
        <v>240843.00000000003</v>
      </c>
    </row>
    <row r="65" spans="1:33" x14ac:dyDescent="0.3">
      <c r="A65" s="369" t="s">
        <v>337</v>
      </c>
      <c r="B65" s="370" t="s">
        <v>337</v>
      </c>
      <c r="C65" s="56">
        <v>1220163.0000000002</v>
      </c>
      <c r="D65" s="56">
        <v>1211412.9999999998</v>
      </c>
      <c r="E65" s="56">
        <v>1202432</v>
      </c>
      <c r="F65" s="56">
        <v>1193913</v>
      </c>
      <c r="G65" s="56">
        <v>1186649</v>
      </c>
      <c r="H65" s="56">
        <v>1180834</v>
      </c>
      <c r="I65" s="56">
        <v>1176764.9999999998</v>
      </c>
      <c r="J65" s="56">
        <v>1174585.9999999998</v>
      </c>
      <c r="K65" s="56">
        <v>1173510</v>
      </c>
      <c r="L65" s="56">
        <v>1172168.0000000002</v>
      </c>
      <c r="M65" s="56">
        <v>1169627</v>
      </c>
      <c r="N65" s="56">
        <v>1166941.0000000002</v>
      </c>
      <c r="O65" s="56">
        <v>1163606</v>
      </c>
      <c r="P65" s="56">
        <v>1159524.0000000002</v>
      </c>
      <c r="Q65" s="56">
        <v>1155104.9999999998</v>
      </c>
      <c r="R65" s="56">
        <v>1150776.0000000002</v>
      </c>
      <c r="S65" s="56">
        <v>1147034</v>
      </c>
      <c r="T65" s="56">
        <v>1143406</v>
      </c>
      <c r="U65" s="56">
        <v>1140299</v>
      </c>
      <c r="V65" s="56">
        <v>1138312.9999999998</v>
      </c>
      <c r="W65" s="56">
        <v>1137760.9999999998</v>
      </c>
      <c r="X65" s="56">
        <v>1140305.9999999998</v>
      </c>
      <c r="Y65" s="56">
        <v>1144063</v>
      </c>
      <c r="Z65" s="56">
        <v>1148395</v>
      </c>
      <c r="AA65" s="56">
        <v>1152307</v>
      </c>
      <c r="AB65" s="56">
        <v>1155061</v>
      </c>
      <c r="AC65" s="56">
        <v>1157553</v>
      </c>
      <c r="AD65" s="56">
        <v>1159220</v>
      </c>
      <c r="AE65" s="56">
        <v>1159674</v>
      </c>
      <c r="AF65" s="56">
        <v>1158629</v>
      </c>
      <c r="AG65" s="56">
        <v>1155987.9999999998</v>
      </c>
    </row>
    <row r="66" spans="1:33" x14ac:dyDescent="0.3">
      <c r="A66" s="369" t="s">
        <v>359</v>
      </c>
      <c r="B66" s="370" t="s">
        <v>359</v>
      </c>
      <c r="C66" s="56">
        <v>14414786.999999996</v>
      </c>
      <c r="D66" s="56">
        <v>14406871</v>
      </c>
      <c r="E66" s="56">
        <v>14420968.000000002</v>
      </c>
      <c r="F66" s="56">
        <v>14446079.000000002</v>
      </c>
      <c r="G66" s="56">
        <v>14465722.999999998</v>
      </c>
      <c r="H66" s="56">
        <v>14469406.000000002</v>
      </c>
      <c r="I66" s="56">
        <v>14453868.999999998</v>
      </c>
      <c r="J66" s="56">
        <v>14426962</v>
      </c>
      <c r="K66" s="56">
        <v>14391413.000000002</v>
      </c>
      <c r="L66" s="56">
        <v>14351059.999999998</v>
      </c>
      <c r="M66" s="56">
        <v>14307803.000000002</v>
      </c>
      <c r="N66" s="56">
        <v>14269084</v>
      </c>
      <c r="O66" s="56">
        <v>14226542</v>
      </c>
      <c r="P66" s="56">
        <v>14178779.999999996</v>
      </c>
      <c r="Q66" s="56">
        <v>14127179</v>
      </c>
      <c r="R66" s="56">
        <v>14074309.999999996</v>
      </c>
      <c r="S66" s="56">
        <v>14039593.999999996</v>
      </c>
      <c r="T66" s="56">
        <v>14004150.000000002</v>
      </c>
      <c r="U66" s="56">
        <v>13967721.999999998</v>
      </c>
      <c r="V66" s="56">
        <v>13926851.999999996</v>
      </c>
      <c r="W66" s="56">
        <v>13878484.000000002</v>
      </c>
      <c r="X66" s="56">
        <v>13847280.999999998</v>
      </c>
      <c r="Y66" s="56">
        <v>13810853.000000002</v>
      </c>
      <c r="Z66" s="56">
        <v>13773846</v>
      </c>
      <c r="AA66" s="56">
        <v>13744984.000000002</v>
      </c>
      <c r="AB66" s="56">
        <v>13728706.999999998</v>
      </c>
      <c r="AC66" s="56">
        <v>13730675</v>
      </c>
      <c r="AD66" s="56">
        <v>13749914.000000002</v>
      </c>
      <c r="AE66" s="56">
        <v>13775356</v>
      </c>
      <c r="AF66" s="56">
        <v>13789743</v>
      </c>
      <c r="AG66" s="56">
        <v>13782654</v>
      </c>
    </row>
    <row r="67" spans="1:33" x14ac:dyDescent="0.3">
      <c r="A67" s="369" t="s">
        <v>385</v>
      </c>
      <c r="B67" s="370" t="s">
        <v>385</v>
      </c>
      <c r="C67" s="56">
        <v>40398.999999999985</v>
      </c>
      <c r="D67" s="56">
        <v>42696.999999999993</v>
      </c>
      <c r="E67" s="56">
        <v>45288</v>
      </c>
      <c r="F67" s="56">
        <v>48032.000000000007</v>
      </c>
      <c r="G67" s="56">
        <v>50738.000000000015</v>
      </c>
      <c r="H67" s="56">
        <v>53211</v>
      </c>
      <c r="I67" s="56">
        <v>54972.000000000007</v>
      </c>
      <c r="J67" s="56">
        <v>56312.000000000007</v>
      </c>
      <c r="K67" s="56">
        <v>57354.000000000022</v>
      </c>
      <c r="L67" s="56">
        <v>58316</v>
      </c>
      <c r="M67" s="56">
        <v>59388.999999999993</v>
      </c>
      <c r="N67" s="56">
        <v>60755.999999999993</v>
      </c>
      <c r="O67" s="56">
        <v>62373.000000000007</v>
      </c>
      <c r="P67" s="56">
        <v>64228.000000000007</v>
      </c>
      <c r="Q67" s="56">
        <v>66237.000000000029</v>
      </c>
      <c r="R67" s="56">
        <v>68290.999999999985</v>
      </c>
      <c r="S67" s="56">
        <v>70120.000000000015</v>
      </c>
      <c r="T67" s="56">
        <v>71954</v>
      </c>
      <c r="U67" s="56">
        <v>73750.999999999971</v>
      </c>
      <c r="V67" s="56">
        <v>75512.000000000015</v>
      </c>
      <c r="W67" s="56">
        <v>77246.000000000015</v>
      </c>
      <c r="X67" s="56">
        <v>78794.000000000015</v>
      </c>
      <c r="Y67" s="56">
        <v>80416.999999999985</v>
      </c>
      <c r="Z67" s="56">
        <v>82045.000000000015</v>
      </c>
      <c r="AA67" s="56">
        <v>83582.999999999985</v>
      </c>
      <c r="AB67" s="56">
        <v>85005.000000000015</v>
      </c>
      <c r="AC67" s="56">
        <v>86557.999999999985</v>
      </c>
      <c r="AD67" s="56">
        <v>87956</v>
      </c>
      <c r="AE67" s="56">
        <v>89289.999999999985</v>
      </c>
      <c r="AF67" s="56">
        <v>90679.000000000015</v>
      </c>
      <c r="AG67" s="56">
        <v>92193.999999999971</v>
      </c>
    </row>
    <row r="68" spans="1:33" x14ac:dyDescent="0.3">
      <c r="A68" s="369" t="s">
        <v>405</v>
      </c>
      <c r="B68" s="370" t="s">
        <v>405</v>
      </c>
      <c r="C68" s="56">
        <v>63814.000000000007</v>
      </c>
      <c r="D68" s="56">
        <v>65355.000000000007</v>
      </c>
      <c r="E68" s="56">
        <v>66862</v>
      </c>
      <c r="F68" s="56">
        <v>68273</v>
      </c>
      <c r="G68" s="56">
        <v>69519</v>
      </c>
      <c r="H68" s="56">
        <v>70544.000000000015</v>
      </c>
      <c r="I68" s="56">
        <v>71262</v>
      </c>
      <c r="J68" s="56">
        <v>71672.000000000015</v>
      </c>
      <c r="K68" s="56">
        <v>71882.999999999985</v>
      </c>
      <c r="L68" s="56">
        <v>72014</v>
      </c>
      <c r="M68" s="56">
        <v>72133</v>
      </c>
      <c r="N68" s="56">
        <v>72397</v>
      </c>
      <c r="O68" s="56">
        <v>72719</v>
      </c>
      <c r="P68" s="56">
        <v>72978.000000000015</v>
      </c>
      <c r="Q68" s="56">
        <v>73026.999999999985</v>
      </c>
      <c r="R68" s="56">
        <v>72839.999999999971</v>
      </c>
      <c r="S68" s="56">
        <v>72953.000000000015</v>
      </c>
      <c r="T68" s="56">
        <v>72710.000000000015</v>
      </c>
      <c r="U68" s="56">
        <v>72293</v>
      </c>
      <c r="V68" s="56">
        <v>71936</v>
      </c>
      <c r="W68" s="56">
        <v>71725.999999999985</v>
      </c>
      <c r="X68" s="56">
        <v>71470</v>
      </c>
      <c r="Y68" s="56">
        <v>71427</v>
      </c>
      <c r="Z68" s="56">
        <v>71500</v>
      </c>
      <c r="AA68" s="56">
        <v>71529</v>
      </c>
      <c r="AB68" s="56">
        <v>71448</v>
      </c>
      <c r="AC68" s="56">
        <v>71522</v>
      </c>
      <c r="AD68" s="56">
        <v>71493.000000000029</v>
      </c>
      <c r="AE68" s="56">
        <v>71372.999999999985</v>
      </c>
      <c r="AF68" s="56">
        <v>71237.000000000015</v>
      </c>
      <c r="AG68" s="56">
        <v>71097</v>
      </c>
    </row>
    <row r="69" spans="1:33" x14ac:dyDescent="0.3">
      <c r="A69" s="369" t="s">
        <v>187</v>
      </c>
      <c r="B69" s="370" t="s">
        <v>187</v>
      </c>
      <c r="C69" s="56">
        <v>278759.99999999994</v>
      </c>
      <c r="D69" s="56">
        <v>288459</v>
      </c>
      <c r="E69" s="56">
        <v>298563</v>
      </c>
      <c r="F69" s="56">
        <v>309122</v>
      </c>
      <c r="G69" s="56">
        <v>320210.99999999994</v>
      </c>
      <c r="H69" s="56">
        <v>331873.00000000012</v>
      </c>
      <c r="I69" s="56">
        <v>345111.00000000006</v>
      </c>
      <c r="J69" s="56">
        <v>358839</v>
      </c>
      <c r="K69" s="56">
        <v>373118.99999999994</v>
      </c>
      <c r="L69" s="56">
        <v>388138</v>
      </c>
      <c r="M69" s="56">
        <v>403996.00000000006</v>
      </c>
      <c r="N69" s="56">
        <v>422049</v>
      </c>
      <c r="O69" s="56">
        <v>441083.00000000006</v>
      </c>
      <c r="P69" s="56">
        <v>460302.99999999994</v>
      </c>
      <c r="Q69" s="56">
        <v>478875.99999999994</v>
      </c>
      <c r="R69" s="56">
        <v>496344.99999999994</v>
      </c>
      <c r="S69" s="56">
        <v>508550</v>
      </c>
      <c r="T69" s="56">
        <v>519887.00000000006</v>
      </c>
      <c r="U69" s="56">
        <v>530640</v>
      </c>
      <c r="V69" s="56">
        <v>541353</v>
      </c>
      <c r="W69" s="56">
        <v>552472</v>
      </c>
      <c r="X69" s="56">
        <v>563440.00000000012</v>
      </c>
      <c r="Y69" s="56">
        <v>575120</v>
      </c>
      <c r="Z69" s="56">
        <v>587463.00000000012</v>
      </c>
      <c r="AA69" s="56">
        <v>600321.99999999988</v>
      </c>
      <c r="AB69" s="56">
        <v>613622.99999999977</v>
      </c>
      <c r="AC69" s="56">
        <v>628135.00000000012</v>
      </c>
      <c r="AD69" s="56">
        <v>642744.00000000012</v>
      </c>
      <c r="AE69" s="56">
        <v>657612.00000000012</v>
      </c>
      <c r="AF69" s="56">
        <v>672910</v>
      </c>
      <c r="AG69" s="56">
        <v>688598.00000000035</v>
      </c>
    </row>
    <row r="70" spans="1:33" x14ac:dyDescent="0.3">
      <c r="A70" s="369" t="s">
        <v>67</v>
      </c>
      <c r="B70" s="370" t="s">
        <v>67</v>
      </c>
      <c r="C70" s="56">
        <v>295825</v>
      </c>
      <c r="D70" s="56">
        <v>306519.99999999994</v>
      </c>
      <c r="E70" s="56">
        <v>318073.99999999994</v>
      </c>
      <c r="F70" s="56">
        <v>330391</v>
      </c>
      <c r="G70" s="56">
        <v>343426.99999999988</v>
      </c>
      <c r="H70" s="56">
        <v>357140.99999999983</v>
      </c>
      <c r="I70" s="56">
        <v>370183</v>
      </c>
      <c r="J70" s="56">
        <v>383978</v>
      </c>
      <c r="K70" s="56">
        <v>398409</v>
      </c>
      <c r="L70" s="56">
        <v>413224.99999999983</v>
      </c>
      <c r="M70" s="56">
        <v>428246.99999999994</v>
      </c>
      <c r="N70" s="56">
        <v>442224.99999999983</v>
      </c>
      <c r="O70" s="56">
        <v>456658</v>
      </c>
      <c r="P70" s="56">
        <v>471456.00000000012</v>
      </c>
      <c r="Q70" s="56">
        <v>486590.00000000006</v>
      </c>
      <c r="R70" s="56">
        <v>502048</v>
      </c>
      <c r="S70" s="56">
        <v>516823</v>
      </c>
      <c r="T70" s="56">
        <v>532098</v>
      </c>
      <c r="U70" s="56">
        <v>547981</v>
      </c>
      <c r="V70" s="56">
        <v>564689</v>
      </c>
      <c r="W70" s="56">
        <v>582325.00000000012</v>
      </c>
      <c r="X70" s="56">
        <v>599959.00000000012</v>
      </c>
      <c r="Y70" s="56">
        <v>618672</v>
      </c>
      <c r="Z70" s="56">
        <v>638347.99999999988</v>
      </c>
      <c r="AA70" s="56">
        <v>658812.00000000023</v>
      </c>
      <c r="AB70" s="56">
        <v>679920.99999999988</v>
      </c>
      <c r="AC70" s="56">
        <v>700826.99999999988</v>
      </c>
      <c r="AD70" s="56">
        <v>722451</v>
      </c>
      <c r="AE70" s="56">
        <v>744815.99999999988</v>
      </c>
      <c r="AF70" s="56">
        <v>767950</v>
      </c>
      <c r="AG70" s="56">
        <v>791819.99999999988</v>
      </c>
    </row>
    <row r="71" spans="1:33" x14ac:dyDescent="0.3">
      <c r="A71" s="369" t="s">
        <v>188</v>
      </c>
      <c r="B71" s="370" t="s">
        <v>188</v>
      </c>
      <c r="C71" s="56">
        <v>1145650</v>
      </c>
      <c r="D71" s="56">
        <v>1128553.9999999998</v>
      </c>
      <c r="E71" s="56">
        <v>1119955</v>
      </c>
      <c r="F71" s="56">
        <v>1115808</v>
      </c>
      <c r="G71" s="56">
        <v>1111622.9999999998</v>
      </c>
      <c r="H71" s="56">
        <v>1105079</v>
      </c>
      <c r="I71" s="56">
        <v>1095038</v>
      </c>
      <c r="J71" s="56">
        <v>1083404.9999999998</v>
      </c>
      <c r="K71" s="56">
        <v>1070173</v>
      </c>
      <c r="L71" s="56">
        <v>1055596</v>
      </c>
      <c r="M71" s="56">
        <v>1039839</v>
      </c>
      <c r="N71" s="56">
        <v>1021743</v>
      </c>
      <c r="O71" s="56">
        <v>1002589.9999999999</v>
      </c>
      <c r="P71" s="56">
        <v>983198.00000000023</v>
      </c>
      <c r="Q71" s="56">
        <v>964868.00000000012</v>
      </c>
      <c r="R71" s="56">
        <v>948575</v>
      </c>
      <c r="S71" s="56">
        <v>935153.99999999988</v>
      </c>
      <c r="T71" s="56">
        <v>923921.00000000012</v>
      </c>
      <c r="U71" s="56">
        <v>914286.99999999988</v>
      </c>
      <c r="V71" s="56">
        <v>905414.99999999977</v>
      </c>
      <c r="W71" s="56">
        <v>896796.99999999988</v>
      </c>
      <c r="X71" s="56">
        <v>889313.99999999988</v>
      </c>
      <c r="Y71" s="56">
        <v>881771.00000000035</v>
      </c>
      <c r="Z71" s="56">
        <v>874639</v>
      </c>
      <c r="AA71" s="56">
        <v>868431.99999999988</v>
      </c>
      <c r="AB71" s="56">
        <v>863304.99999999988</v>
      </c>
      <c r="AC71" s="56">
        <v>858795.00000000012</v>
      </c>
      <c r="AD71" s="56">
        <v>855076.99999999977</v>
      </c>
      <c r="AE71" s="56">
        <v>851821.99999999988</v>
      </c>
      <c r="AF71" s="56">
        <v>848441.00000000012</v>
      </c>
      <c r="AG71" s="56">
        <v>844569.00000000012</v>
      </c>
    </row>
    <row r="72" spans="1:33" x14ac:dyDescent="0.3">
      <c r="A72" s="369" t="s">
        <v>360</v>
      </c>
      <c r="B72" s="370" t="s">
        <v>360</v>
      </c>
      <c r="C72" s="56">
        <v>19497442.000000004</v>
      </c>
      <c r="D72" s="56">
        <v>19492407</v>
      </c>
      <c r="E72" s="56">
        <v>19495335.000000007</v>
      </c>
      <c r="F72" s="56">
        <v>19486829.999999996</v>
      </c>
      <c r="G72" s="56">
        <v>19443190</v>
      </c>
      <c r="H72" s="56">
        <v>19353137</v>
      </c>
      <c r="I72" s="56">
        <v>19210149</v>
      </c>
      <c r="J72" s="56">
        <v>19025698</v>
      </c>
      <c r="K72" s="56">
        <v>18810932</v>
      </c>
      <c r="L72" s="56">
        <v>18584143</v>
      </c>
      <c r="M72" s="56">
        <v>18357074.999999996</v>
      </c>
      <c r="N72" s="56">
        <v>18158103</v>
      </c>
      <c r="O72" s="56">
        <v>17969782.000000004</v>
      </c>
      <c r="P72" s="56">
        <v>17789541</v>
      </c>
      <c r="Q72" s="56">
        <v>17612945.000000004</v>
      </c>
      <c r="R72" s="56">
        <v>17437044</v>
      </c>
      <c r="S72" s="56">
        <v>17296117.000000004</v>
      </c>
      <c r="T72" s="56">
        <v>17157212.999999996</v>
      </c>
      <c r="U72" s="56">
        <v>17023532.000000004</v>
      </c>
      <c r="V72" s="56">
        <v>16903211</v>
      </c>
      <c r="W72" s="56">
        <v>16800417</v>
      </c>
      <c r="X72" s="56">
        <v>16676789</v>
      </c>
      <c r="Y72" s="56">
        <v>16577046.999999998</v>
      </c>
      <c r="Z72" s="56">
        <v>16492419.999999998</v>
      </c>
      <c r="AA72" s="56">
        <v>16408724.999999998</v>
      </c>
      <c r="AB72" s="56">
        <v>16318521.999999998</v>
      </c>
      <c r="AC72" s="56">
        <v>16251851.000000004</v>
      </c>
      <c r="AD72" s="56">
        <v>16178735.999999998</v>
      </c>
      <c r="AE72" s="56">
        <v>16100220.000000004</v>
      </c>
      <c r="AF72" s="56">
        <v>16020626</v>
      </c>
      <c r="AG72" s="56">
        <v>15941087.999999996</v>
      </c>
    </row>
    <row r="73" spans="1:33" x14ac:dyDescent="0.3">
      <c r="A73" s="369" t="s">
        <v>33</v>
      </c>
      <c r="B73" s="370" t="s">
        <v>33</v>
      </c>
      <c r="C73" s="56">
        <v>4602991.9999999991</v>
      </c>
      <c r="D73" s="56">
        <v>4740978.9999999991</v>
      </c>
      <c r="E73" s="56">
        <v>4889888.9999999981</v>
      </c>
      <c r="F73" s="56">
        <v>5046931.0000000009</v>
      </c>
      <c r="G73" s="56">
        <v>5207319</v>
      </c>
      <c r="H73" s="56">
        <v>5368158.0000000009</v>
      </c>
      <c r="I73" s="56">
        <v>5532716</v>
      </c>
      <c r="J73" s="56">
        <v>5697535.9999999963</v>
      </c>
      <c r="K73" s="56">
        <v>5862385.9999999991</v>
      </c>
      <c r="L73" s="56">
        <v>6027592.0000000009</v>
      </c>
      <c r="M73" s="56">
        <v>6192616.9999999981</v>
      </c>
      <c r="N73" s="56">
        <v>6343995.0000000028</v>
      </c>
      <c r="O73" s="56">
        <v>6494852.0000000019</v>
      </c>
      <c r="P73" s="56">
        <v>6645664</v>
      </c>
      <c r="Q73" s="56">
        <v>6797067.9999999991</v>
      </c>
      <c r="R73" s="56">
        <v>6949720</v>
      </c>
      <c r="S73" s="56">
        <v>7098691</v>
      </c>
      <c r="T73" s="56">
        <v>7252004.0000000009</v>
      </c>
      <c r="U73" s="56">
        <v>7408582.0000000009</v>
      </c>
      <c r="V73" s="56">
        <v>7567054.9999999991</v>
      </c>
      <c r="W73" s="56">
        <v>7726946.0000000009</v>
      </c>
      <c r="X73" s="56">
        <v>7892446.9999999991</v>
      </c>
      <c r="Y73" s="56">
        <v>8058029</v>
      </c>
      <c r="Z73" s="56">
        <v>8225886.0000000019</v>
      </c>
      <c r="AA73" s="56">
        <v>8399011.9999999963</v>
      </c>
      <c r="AB73" s="56">
        <v>8578457.9999999981</v>
      </c>
      <c r="AC73" s="56">
        <v>8761510</v>
      </c>
      <c r="AD73" s="56">
        <v>8950852</v>
      </c>
      <c r="AE73" s="56">
        <v>9144492</v>
      </c>
      <c r="AF73" s="56">
        <v>9338859.9999999981</v>
      </c>
      <c r="AG73" s="56">
        <v>9531606.9999999963</v>
      </c>
    </row>
    <row r="74" spans="1:33" x14ac:dyDescent="0.3">
      <c r="A74" s="369" t="s">
        <v>348</v>
      </c>
      <c r="B74" s="370" t="s">
        <v>348</v>
      </c>
      <c r="C74" s="56">
        <v>2795119</v>
      </c>
      <c r="D74" s="56">
        <v>2801901.9999999991</v>
      </c>
      <c r="E74" s="56">
        <v>2806827.9999999995</v>
      </c>
      <c r="F74" s="56">
        <v>2807959.0000000005</v>
      </c>
      <c r="G74" s="56">
        <v>2802910.0000000009</v>
      </c>
      <c r="H74" s="56">
        <v>2790098</v>
      </c>
      <c r="I74" s="56">
        <v>2752609.9999999995</v>
      </c>
      <c r="J74" s="56">
        <v>2706609</v>
      </c>
      <c r="K74" s="56">
        <v>2655960.9999999995</v>
      </c>
      <c r="L74" s="56">
        <v>2606316</v>
      </c>
      <c r="M74" s="56">
        <v>2561629</v>
      </c>
      <c r="N74" s="56">
        <v>2521706</v>
      </c>
      <c r="O74" s="56">
        <v>2486810.0000000005</v>
      </c>
      <c r="P74" s="56">
        <v>2454464.9999999991</v>
      </c>
      <c r="Q74" s="56">
        <v>2420549.0000000005</v>
      </c>
      <c r="R74" s="56">
        <v>2382774</v>
      </c>
      <c r="S74" s="56">
        <v>2349246</v>
      </c>
      <c r="T74" s="56">
        <v>2311900</v>
      </c>
      <c r="U74" s="56">
        <v>2272510.9999999995</v>
      </c>
      <c r="V74" s="56">
        <v>2233841.9999999995</v>
      </c>
      <c r="W74" s="56">
        <v>2197256.0000000005</v>
      </c>
      <c r="X74" s="56">
        <v>2164261.9999999995</v>
      </c>
      <c r="Y74" s="56">
        <v>2133544</v>
      </c>
      <c r="Z74" s="56">
        <v>2104114</v>
      </c>
      <c r="AA74" s="56">
        <v>2074184.0000000002</v>
      </c>
      <c r="AB74" s="56">
        <v>2042717</v>
      </c>
      <c r="AC74" s="56">
        <v>2014361.0000000002</v>
      </c>
      <c r="AD74" s="56">
        <v>1985360</v>
      </c>
      <c r="AE74" s="56">
        <v>1955597.0000000002</v>
      </c>
      <c r="AF74" s="56">
        <v>1925128.9999999998</v>
      </c>
      <c r="AG74" s="56">
        <v>1893917.0000000002</v>
      </c>
    </row>
    <row r="75" spans="1:33" x14ac:dyDescent="0.3">
      <c r="A75" s="369" t="s">
        <v>371</v>
      </c>
      <c r="B75" s="370" t="s">
        <v>371</v>
      </c>
      <c r="C75" s="56">
        <v>24784</v>
      </c>
      <c r="D75" s="56">
        <v>25371.999999999993</v>
      </c>
      <c r="E75" s="56">
        <v>25932</v>
      </c>
      <c r="F75" s="56">
        <v>26409.000000000004</v>
      </c>
      <c r="G75" s="56">
        <v>26750.999999999996</v>
      </c>
      <c r="H75" s="56">
        <v>26958.000000000007</v>
      </c>
      <c r="I75" s="56">
        <v>27068</v>
      </c>
      <c r="J75" s="56">
        <v>27094.000000000007</v>
      </c>
      <c r="K75" s="56">
        <v>27099</v>
      </c>
      <c r="L75" s="56">
        <v>27116.999999999993</v>
      </c>
      <c r="M75" s="56">
        <v>27167</v>
      </c>
      <c r="N75" s="56">
        <v>27250</v>
      </c>
      <c r="O75" s="56">
        <v>27404.999999999989</v>
      </c>
      <c r="P75" s="56">
        <v>27572.000000000004</v>
      </c>
      <c r="Q75" s="56">
        <v>27700</v>
      </c>
      <c r="R75" s="56">
        <v>27779.999999999993</v>
      </c>
      <c r="S75" s="56">
        <v>27866.999999999993</v>
      </c>
      <c r="T75" s="56">
        <v>27901.999999999996</v>
      </c>
      <c r="U75" s="56">
        <v>27909.999999999996</v>
      </c>
      <c r="V75" s="56">
        <v>27928.999999999996</v>
      </c>
      <c r="W75" s="56">
        <v>27979.999999999996</v>
      </c>
      <c r="X75" s="56">
        <v>28058.000000000007</v>
      </c>
      <c r="Y75" s="56">
        <v>28157.000000000004</v>
      </c>
      <c r="Z75" s="56">
        <v>28275</v>
      </c>
      <c r="AA75" s="56">
        <v>28404</v>
      </c>
      <c r="AB75" s="56">
        <v>28543.999999999996</v>
      </c>
      <c r="AC75" s="56">
        <v>28695.999999999996</v>
      </c>
      <c r="AD75" s="56">
        <v>28861.000000000004</v>
      </c>
      <c r="AE75" s="56">
        <v>29012</v>
      </c>
      <c r="AF75" s="56">
        <v>29124</v>
      </c>
      <c r="AG75" s="56">
        <v>29171</v>
      </c>
    </row>
    <row r="76" spans="1:33" x14ac:dyDescent="0.3">
      <c r="A76" s="369" t="s">
        <v>372</v>
      </c>
      <c r="B76" s="370" t="s">
        <v>372</v>
      </c>
      <c r="C76" s="56">
        <v>113548.00000000001</v>
      </c>
      <c r="D76" s="56">
        <v>112548.99999999997</v>
      </c>
      <c r="E76" s="56">
        <v>110783.00000000001</v>
      </c>
      <c r="F76" s="56">
        <v>108709.00000000001</v>
      </c>
      <c r="G76" s="56">
        <v>106709.00000000001</v>
      </c>
      <c r="H76" s="56">
        <v>104937</v>
      </c>
      <c r="I76" s="56">
        <v>103925.99999999999</v>
      </c>
      <c r="J76" s="56">
        <v>103065.99999999999</v>
      </c>
      <c r="K76" s="56">
        <v>102333.00000000001</v>
      </c>
      <c r="L76" s="56">
        <v>101466.00000000001</v>
      </c>
      <c r="M76" s="56">
        <v>100201.99999999997</v>
      </c>
      <c r="N76" s="56">
        <v>98793</v>
      </c>
      <c r="O76" s="56">
        <v>96926.999999999985</v>
      </c>
      <c r="P76" s="56">
        <v>94903</v>
      </c>
      <c r="Q76" s="56">
        <v>92933.000000000015</v>
      </c>
      <c r="R76" s="56">
        <v>91064</v>
      </c>
      <c r="S76" s="56">
        <v>90119.000000000015</v>
      </c>
      <c r="T76" s="56">
        <v>89105.000000000015</v>
      </c>
      <c r="U76" s="56">
        <v>88076.000000000015</v>
      </c>
      <c r="V76" s="56">
        <v>87094</v>
      </c>
      <c r="W76" s="56">
        <v>86172</v>
      </c>
      <c r="X76" s="56">
        <v>85204</v>
      </c>
      <c r="Y76" s="56">
        <v>84385</v>
      </c>
      <c r="Z76" s="56">
        <v>83630.999999999971</v>
      </c>
      <c r="AA76" s="56">
        <v>82821.000000000029</v>
      </c>
      <c r="AB76" s="56">
        <v>81913.999999999985</v>
      </c>
      <c r="AC76" s="56">
        <v>81289.999999999971</v>
      </c>
      <c r="AD76" s="56">
        <v>80554</v>
      </c>
      <c r="AE76" s="56">
        <v>79774</v>
      </c>
      <c r="AF76" s="56">
        <v>79079.000000000015</v>
      </c>
      <c r="AG76" s="56">
        <v>78526</v>
      </c>
    </row>
    <row r="77" spans="1:33" x14ac:dyDescent="0.3">
      <c r="A77" s="369" t="s">
        <v>401</v>
      </c>
      <c r="B77" s="370" t="s">
        <v>401</v>
      </c>
      <c r="C77" s="56">
        <v>40063</v>
      </c>
      <c r="D77" s="56">
        <v>40164</v>
      </c>
      <c r="E77" s="56">
        <v>40157</v>
      </c>
      <c r="F77" s="56">
        <v>40077.999999999993</v>
      </c>
      <c r="G77" s="56">
        <v>39979.999999999993</v>
      </c>
      <c r="H77" s="56">
        <v>39911</v>
      </c>
      <c r="I77" s="56">
        <v>39833.000000000007</v>
      </c>
      <c r="J77" s="56">
        <v>39813</v>
      </c>
      <c r="K77" s="56">
        <v>39820.000000000015</v>
      </c>
      <c r="L77" s="56">
        <v>39807</v>
      </c>
      <c r="M77" s="56">
        <v>39740.999999999993</v>
      </c>
      <c r="N77" s="56">
        <v>39686</v>
      </c>
      <c r="O77" s="56">
        <v>39576</v>
      </c>
      <c r="P77" s="56">
        <v>39465.999999999993</v>
      </c>
      <c r="Q77" s="56">
        <v>39410.000000000007</v>
      </c>
      <c r="R77" s="56">
        <v>39445.000000000007</v>
      </c>
      <c r="S77" s="56">
        <v>39557.999999999993</v>
      </c>
      <c r="T77" s="56">
        <v>39772</v>
      </c>
      <c r="U77" s="56">
        <v>40045.000000000007</v>
      </c>
      <c r="V77" s="56">
        <v>40297.999999999993</v>
      </c>
      <c r="W77" s="56">
        <v>40495</v>
      </c>
      <c r="X77" s="56">
        <v>40678</v>
      </c>
      <c r="Y77" s="56">
        <v>40800.999999999993</v>
      </c>
      <c r="Z77" s="56">
        <v>40888</v>
      </c>
      <c r="AA77" s="56">
        <v>40985.999999999993</v>
      </c>
      <c r="AB77" s="56">
        <v>41122</v>
      </c>
      <c r="AC77" s="56">
        <v>41296.999999999985</v>
      </c>
      <c r="AD77" s="56">
        <v>41504.999999999993</v>
      </c>
      <c r="AE77" s="56">
        <v>41733</v>
      </c>
      <c r="AF77" s="56">
        <v>41957</v>
      </c>
      <c r="AG77" s="56">
        <v>42155.999999999985</v>
      </c>
    </row>
    <row r="78" spans="1:33" x14ac:dyDescent="0.3">
      <c r="A78" s="369" t="s">
        <v>190</v>
      </c>
      <c r="B78" s="370" t="s">
        <v>190</v>
      </c>
      <c r="C78" s="56">
        <v>2784037.0000000005</v>
      </c>
      <c r="D78" s="56">
        <v>2863520.0000000005</v>
      </c>
      <c r="E78" s="56">
        <v>2940572.9999999991</v>
      </c>
      <c r="F78" s="56">
        <v>3017625</v>
      </c>
      <c r="G78" s="56">
        <v>3098847.9999999986</v>
      </c>
      <c r="H78" s="56">
        <v>3186491.0000000009</v>
      </c>
      <c r="I78" s="56">
        <v>3280265</v>
      </c>
      <c r="J78" s="56">
        <v>3381608</v>
      </c>
      <c r="K78" s="56">
        <v>3488697.9999999991</v>
      </c>
      <c r="L78" s="56">
        <v>3598074.0000000005</v>
      </c>
      <c r="M78" s="56">
        <v>3707747</v>
      </c>
      <c r="N78" s="56">
        <v>3824242</v>
      </c>
      <c r="O78" s="56">
        <v>3938471.0000000014</v>
      </c>
      <c r="P78" s="56">
        <v>4051999.0000000005</v>
      </c>
      <c r="Q78" s="56">
        <v>4167459</v>
      </c>
      <c r="R78" s="56">
        <v>4285562.0000000009</v>
      </c>
      <c r="S78" s="56">
        <v>4400931.0000000009</v>
      </c>
      <c r="T78" s="56">
        <v>4519031</v>
      </c>
      <c r="U78" s="56">
        <v>4637383.0000000009</v>
      </c>
      <c r="V78" s="56">
        <v>4752160.0000000009</v>
      </c>
      <c r="W78" s="56">
        <v>4861317</v>
      </c>
      <c r="X78" s="56">
        <v>4966208</v>
      </c>
      <c r="Y78" s="56">
        <v>5066090.0000000009</v>
      </c>
      <c r="Z78" s="56">
        <v>5161209.0000000009</v>
      </c>
      <c r="AA78" s="56">
        <v>5252832.9999999991</v>
      </c>
      <c r="AB78" s="56">
        <v>5341751.9999999981</v>
      </c>
      <c r="AC78" s="56">
        <v>5429491.9999999981</v>
      </c>
      <c r="AD78" s="56">
        <v>5514068.9999999972</v>
      </c>
      <c r="AE78" s="56">
        <v>5595733</v>
      </c>
      <c r="AF78" s="56">
        <v>5674590.9999999972</v>
      </c>
      <c r="AG78" s="56">
        <v>5750694</v>
      </c>
    </row>
    <row r="79" spans="1:33" x14ac:dyDescent="0.3">
      <c r="A79" s="369" t="s">
        <v>68</v>
      </c>
      <c r="B79" s="370" t="s">
        <v>68</v>
      </c>
      <c r="C79" s="56">
        <v>1924956.0000000005</v>
      </c>
      <c r="D79" s="56">
        <v>1962186.0000000005</v>
      </c>
      <c r="E79" s="56">
        <v>1999007.9999999998</v>
      </c>
      <c r="F79" s="56">
        <v>2037160</v>
      </c>
      <c r="G79" s="56">
        <v>2078839</v>
      </c>
      <c r="H79" s="56">
        <v>2125430.9999999991</v>
      </c>
      <c r="I79" s="56">
        <v>2174025.0000000005</v>
      </c>
      <c r="J79" s="56">
        <v>2227397.0000000009</v>
      </c>
      <c r="K79" s="56">
        <v>2284542</v>
      </c>
      <c r="L79" s="56">
        <v>2344027.9999999995</v>
      </c>
      <c r="M79" s="56">
        <v>2405058.9999999995</v>
      </c>
      <c r="N79" s="56">
        <v>2464867.0000000005</v>
      </c>
      <c r="O79" s="56">
        <v>2526689.9999999986</v>
      </c>
      <c r="P79" s="56">
        <v>2591761</v>
      </c>
      <c r="Q79" s="56">
        <v>2661427.9999999991</v>
      </c>
      <c r="R79" s="56">
        <v>2736538.9999999995</v>
      </c>
      <c r="S79" s="56">
        <v>2823910</v>
      </c>
      <c r="T79" s="56">
        <v>2917348</v>
      </c>
      <c r="U79" s="56">
        <v>3015709.9999999995</v>
      </c>
      <c r="V79" s="56">
        <v>3117489</v>
      </c>
      <c r="W79" s="56">
        <v>3221435</v>
      </c>
      <c r="X79" s="56">
        <v>3324330.9999999986</v>
      </c>
      <c r="Y79" s="56">
        <v>3429664.9999999991</v>
      </c>
      <c r="Z79" s="56">
        <v>3537083.0000000014</v>
      </c>
      <c r="AA79" s="56">
        <v>3646247</v>
      </c>
      <c r="AB79" s="56">
        <v>3756976</v>
      </c>
      <c r="AC79" s="56">
        <v>3867313</v>
      </c>
      <c r="AD79" s="56">
        <v>3979442.9999999995</v>
      </c>
      <c r="AE79" s="56">
        <v>4093270.0000000009</v>
      </c>
      <c r="AF79" s="56">
        <v>4208832</v>
      </c>
      <c r="AG79" s="56">
        <v>4326124</v>
      </c>
    </row>
    <row r="80" spans="1:33" x14ac:dyDescent="0.3">
      <c r="A80" s="369" t="s">
        <v>69</v>
      </c>
      <c r="B80" s="370" t="s">
        <v>69</v>
      </c>
      <c r="C80" s="56">
        <v>282753</v>
      </c>
      <c r="D80" s="56">
        <v>289991</v>
      </c>
      <c r="E80" s="56">
        <v>297646</v>
      </c>
      <c r="F80" s="56">
        <v>305813.00000000006</v>
      </c>
      <c r="G80" s="56">
        <v>314589.00000000006</v>
      </c>
      <c r="H80" s="56">
        <v>323959.00000000006</v>
      </c>
      <c r="I80" s="56">
        <v>332903.00000000006</v>
      </c>
      <c r="J80" s="56">
        <v>342378.00000000012</v>
      </c>
      <c r="K80" s="56">
        <v>352310.99999999994</v>
      </c>
      <c r="L80" s="56">
        <v>362623.00000000006</v>
      </c>
      <c r="M80" s="56">
        <v>373276.00000000006</v>
      </c>
      <c r="N80" s="56">
        <v>383661</v>
      </c>
      <c r="O80" s="56">
        <v>394592.00000000017</v>
      </c>
      <c r="P80" s="56">
        <v>405945</v>
      </c>
      <c r="Q80" s="56">
        <v>417619.99999999994</v>
      </c>
      <c r="R80" s="56">
        <v>429572</v>
      </c>
      <c r="S80" s="56">
        <v>441343.00000000006</v>
      </c>
      <c r="T80" s="56">
        <v>453481</v>
      </c>
      <c r="U80" s="56">
        <v>465981</v>
      </c>
      <c r="V80" s="56">
        <v>478856.00000000006</v>
      </c>
      <c r="W80" s="56">
        <v>492119</v>
      </c>
      <c r="X80" s="56">
        <v>505508.99999999994</v>
      </c>
      <c r="Y80" s="56">
        <v>519236</v>
      </c>
      <c r="Z80" s="56">
        <v>533347.99999999988</v>
      </c>
      <c r="AA80" s="56">
        <v>547895.99999999988</v>
      </c>
      <c r="AB80" s="56">
        <v>562865</v>
      </c>
      <c r="AC80" s="56">
        <v>577850</v>
      </c>
      <c r="AD80" s="56">
        <v>593235.00000000012</v>
      </c>
      <c r="AE80" s="56">
        <v>608911.99999999988</v>
      </c>
      <c r="AF80" s="56">
        <v>624667.99999999977</v>
      </c>
      <c r="AG80" s="56">
        <v>640377</v>
      </c>
    </row>
    <row r="81" spans="1:33" x14ac:dyDescent="0.3">
      <c r="A81" s="369" t="s">
        <v>192</v>
      </c>
      <c r="B81" s="370" t="s">
        <v>192</v>
      </c>
      <c r="C81" s="56">
        <v>197300</v>
      </c>
      <c r="D81" s="56">
        <v>194860</v>
      </c>
      <c r="E81" s="56">
        <v>192311.99999999997</v>
      </c>
      <c r="F81" s="56">
        <v>189956</v>
      </c>
      <c r="G81" s="56">
        <v>188091.00000000003</v>
      </c>
      <c r="H81" s="56">
        <v>186825.00000000003</v>
      </c>
      <c r="I81" s="56">
        <v>188376.00000000003</v>
      </c>
      <c r="J81" s="56">
        <v>190490.00000000003</v>
      </c>
      <c r="K81" s="56">
        <v>192993</v>
      </c>
      <c r="L81" s="56">
        <v>195492</v>
      </c>
      <c r="M81" s="56">
        <v>197687</v>
      </c>
      <c r="N81" s="56">
        <v>198742.00000000003</v>
      </c>
      <c r="O81" s="56">
        <v>199371</v>
      </c>
      <c r="P81" s="56">
        <v>199671.00000000003</v>
      </c>
      <c r="Q81" s="56">
        <v>199833.99999999997</v>
      </c>
      <c r="R81" s="56">
        <v>199951.99999999997</v>
      </c>
      <c r="S81" s="56">
        <v>200002.99999999994</v>
      </c>
      <c r="T81" s="56">
        <v>200124.99999999997</v>
      </c>
      <c r="U81" s="56">
        <v>200169</v>
      </c>
      <c r="V81" s="56">
        <v>199933</v>
      </c>
      <c r="W81" s="56">
        <v>199346.99999999994</v>
      </c>
      <c r="X81" s="56">
        <v>199073.99999999997</v>
      </c>
      <c r="Y81" s="56">
        <v>198425.00000000006</v>
      </c>
      <c r="Z81" s="56">
        <v>197576</v>
      </c>
      <c r="AA81" s="56">
        <v>196819.00000000003</v>
      </c>
      <c r="AB81" s="56">
        <v>196319.99999999997</v>
      </c>
      <c r="AC81" s="56">
        <v>196474</v>
      </c>
      <c r="AD81" s="56">
        <v>196871</v>
      </c>
      <c r="AE81" s="56">
        <v>197402.00000000003</v>
      </c>
      <c r="AF81" s="56">
        <v>197871.99999999997</v>
      </c>
      <c r="AG81" s="56">
        <v>198182.00000000006</v>
      </c>
    </row>
    <row r="82" spans="1:33" x14ac:dyDescent="0.3">
      <c r="A82" s="369" t="s">
        <v>70</v>
      </c>
      <c r="B82" s="370" t="s">
        <v>70</v>
      </c>
      <c r="C82" s="56">
        <v>2077728.0000000005</v>
      </c>
      <c r="D82" s="56">
        <v>2130135.0000000005</v>
      </c>
      <c r="E82" s="56">
        <v>2181389.9999999995</v>
      </c>
      <c r="F82" s="56">
        <v>2231790</v>
      </c>
      <c r="G82" s="56">
        <v>2282402</v>
      </c>
      <c r="H82" s="56">
        <v>2333929.0000000005</v>
      </c>
      <c r="I82" s="56">
        <v>2384376</v>
      </c>
      <c r="J82" s="56">
        <v>2435461</v>
      </c>
      <c r="K82" s="56">
        <v>2486812</v>
      </c>
      <c r="L82" s="56">
        <v>2537942.9999999991</v>
      </c>
      <c r="M82" s="56">
        <v>2588597</v>
      </c>
      <c r="N82" s="56">
        <v>2636934.9999999995</v>
      </c>
      <c r="O82" s="56">
        <v>2684765.9999999995</v>
      </c>
      <c r="P82" s="56">
        <v>2732300</v>
      </c>
      <c r="Q82" s="56">
        <v>2779968.0000000005</v>
      </c>
      <c r="R82" s="56">
        <v>2828054.0000000009</v>
      </c>
      <c r="S82" s="56">
        <v>2874391</v>
      </c>
      <c r="T82" s="56">
        <v>2921049.0000000009</v>
      </c>
      <c r="U82" s="56">
        <v>2967871.0000000005</v>
      </c>
      <c r="V82" s="56">
        <v>3014738.0000000009</v>
      </c>
      <c r="W82" s="56">
        <v>3061591.0000000005</v>
      </c>
      <c r="X82" s="56">
        <v>3108359.0000000005</v>
      </c>
      <c r="Y82" s="56">
        <v>3154435.9999999995</v>
      </c>
      <c r="Z82" s="56">
        <v>3199510.0000000005</v>
      </c>
      <c r="AA82" s="56">
        <v>3243103</v>
      </c>
      <c r="AB82" s="56">
        <v>3284837.9999999991</v>
      </c>
      <c r="AC82" s="56">
        <v>3325238.9999999995</v>
      </c>
      <c r="AD82" s="56">
        <v>3363919</v>
      </c>
      <c r="AE82" s="56">
        <v>3400151</v>
      </c>
      <c r="AF82" s="56">
        <v>3432904</v>
      </c>
      <c r="AG82" s="56">
        <v>3461658.9999999995</v>
      </c>
    </row>
    <row r="83" spans="1:33" x14ac:dyDescent="0.3">
      <c r="A83" s="369" t="s">
        <v>71</v>
      </c>
      <c r="B83" s="370" t="s">
        <v>71</v>
      </c>
      <c r="C83" s="56">
        <v>1585970.0000000007</v>
      </c>
      <c r="D83" s="56">
        <v>1635943.9999999998</v>
      </c>
      <c r="E83" s="56">
        <v>1687886.9999999995</v>
      </c>
      <c r="F83" s="56">
        <v>1741143.0000000009</v>
      </c>
      <c r="G83" s="56">
        <v>1794885.9999999998</v>
      </c>
      <c r="H83" s="56">
        <v>1848840</v>
      </c>
      <c r="I83" s="56">
        <v>1905596.0000000002</v>
      </c>
      <c r="J83" s="56">
        <v>1961609.9999999998</v>
      </c>
      <c r="K83" s="56">
        <v>2017783.0000000007</v>
      </c>
      <c r="L83" s="56">
        <v>2075571.0000000005</v>
      </c>
      <c r="M83" s="56">
        <v>2135537</v>
      </c>
      <c r="N83" s="56">
        <v>2196087.0000000005</v>
      </c>
      <c r="O83" s="56">
        <v>2258604.0000000005</v>
      </c>
      <c r="P83" s="56">
        <v>2322091</v>
      </c>
      <c r="Q83" s="56">
        <v>2384633.0000000009</v>
      </c>
      <c r="R83" s="56">
        <v>2445009.9999999995</v>
      </c>
      <c r="S83" s="56">
        <v>2504637.0000000005</v>
      </c>
      <c r="T83" s="56">
        <v>2561152.0000000005</v>
      </c>
      <c r="U83" s="56">
        <v>2615106</v>
      </c>
      <c r="V83" s="56">
        <v>2667625.9999999995</v>
      </c>
      <c r="W83" s="56">
        <v>2719142</v>
      </c>
      <c r="X83" s="56">
        <v>2767662.0000000005</v>
      </c>
      <c r="Y83" s="56">
        <v>2815851.0000000005</v>
      </c>
      <c r="Z83" s="56">
        <v>2862517</v>
      </c>
      <c r="AA83" s="56">
        <v>2906047.0000000005</v>
      </c>
      <c r="AB83" s="56">
        <v>2945718.9999999991</v>
      </c>
      <c r="AC83" s="56">
        <v>2983798</v>
      </c>
      <c r="AD83" s="56">
        <v>3018216.0000000014</v>
      </c>
      <c r="AE83" s="56">
        <v>3049609.0000000005</v>
      </c>
      <c r="AF83" s="56">
        <v>3079184.9999999995</v>
      </c>
      <c r="AG83" s="56">
        <v>3107629.0000000005</v>
      </c>
    </row>
    <row r="84" spans="1:33" x14ac:dyDescent="0.3">
      <c r="A84" s="369" t="s">
        <v>328</v>
      </c>
      <c r="B84" s="370" t="s">
        <v>328</v>
      </c>
      <c r="C84" s="56">
        <v>2560391.0000000005</v>
      </c>
      <c r="D84" s="56">
        <v>2544638</v>
      </c>
      <c r="E84" s="56">
        <v>2522999.0000000009</v>
      </c>
      <c r="F84" s="56">
        <v>2498197.9999999995</v>
      </c>
      <c r="G84" s="56">
        <v>2473925</v>
      </c>
      <c r="H84" s="56">
        <v>2452178.0000000005</v>
      </c>
      <c r="I84" s="56">
        <v>2425151</v>
      </c>
      <c r="J84" s="56">
        <v>2401901.9999999995</v>
      </c>
      <c r="K84" s="56">
        <v>2382940</v>
      </c>
      <c r="L84" s="56">
        <v>2366992.9999999995</v>
      </c>
      <c r="M84" s="56">
        <v>2352637</v>
      </c>
      <c r="N84" s="56">
        <v>2341319</v>
      </c>
      <c r="O84" s="56">
        <v>2332084.0000000005</v>
      </c>
      <c r="P84" s="56">
        <v>2323349.9999999995</v>
      </c>
      <c r="Q84" s="56">
        <v>2313438</v>
      </c>
      <c r="R84" s="56">
        <v>2301308.9999999991</v>
      </c>
      <c r="S84" s="56">
        <v>2287808</v>
      </c>
      <c r="T84" s="56">
        <v>2270796.0000000005</v>
      </c>
      <c r="U84" s="56">
        <v>2251110</v>
      </c>
      <c r="V84" s="56">
        <v>2229892.9999999995</v>
      </c>
      <c r="W84" s="56">
        <v>2207356</v>
      </c>
      <c r="X84" s="56">
        <v>2181413</v>
      </c>
      <c r="Y84" s="56">
        <v>2155574</v>
      </c>
      <c r="Z84" s="56">
        <v>2128502.0000000005</v>
      </c>
      <c r="AA84" s="56">
        <v>2098405</v>
      </c>
      <c r="AB84" s="56">
        <v>2064741.9999999998</v>
      </c>
      <c r="AC84" s="56">
        <v>2030213</v>
      </c>
      <c r="AD84" s="56">
        <v>1992267.9999999998</v>
      </c>
      <c r="AE84" s="56">
        <v>1953574</v>
      </c>
      <c r="AF84" s="56">
        <v>1918184.9999999995</v>
      </c>
      <c r="AG84" s="56">
        <v>1888341</v>
      </c>
    </row>
    <row r="85" spans="1:33" x14ac:dyDescent="0.3">
      <c r="A85" s="369" t="s">
        <v>338</v>
      </c>
      <c r="B85" s="370" t="s">
        <v>338</v>
      </c>
      <c r="C85" s="56">
        <v>71539.999999999985</v>
      </c>
      <c r="D85" s="56">
        <v>71991.999999999985</v>
      </c>
      <c r="E85" s="56">
        <v>72231.999999999985</v>
      </c>
      <c r="F85" s="56">
        <v>72409</v>
      </c>
      <c r="G85" s="56">
        <v>72709.000000000015</v>
      </c>
      <c r="H85" s="56">
        <v>73204.000000000015</v>
      </c>
      <c r="I85" s="56">
        <v>74184.000000000015</v>
      </c>
      <c r="J85" s="56">
        <v>75353</v>
      </c>
      <c r="K85" s="56">
        <v>76556.999999999971</v>
      </c>
      <c r="L85" s="56">
        <v>77576.999999999971</v>
      </c>
      <c r="M85" s="56">
        <v>78315.999999999985</v>
      </c>
      <c r="N85" s="56">
        <v>78399</v>
      </c>
      <c r="O85" s="56">
        <v>78267.000000000029</v>
      </c>
      <c r="P85" s="56">
        <v>77998.000000000029</v>
      </c>
      <c r="Q85" s="56">
        <v>77707.000000000015</v>
      </c>
      <c r="R85" s="56">
        <v>77499.999999999985</v>
      </c>
      <c r="S85" s="56">
        <v>77509.000000000015</v>
      </c>
      <c r="T85" s="56">
        <v>77604.999999999971</v>
      </c>
      <c r="U85" s="56">
        <v>77763</v>
      </c>
      <c r="V85" s="56">
        <v>77955.999999999985</v>
      </c>
      <c r="W85" s="56">
        <v>78146.999999999985</v>
      </c>
      <c r="X85" s="56">
        <v>78464.999999999985</v>
      </c>
      <c r="Y85" s="56">
        <v>78756.000000000015</v>
      </c>
      <c r="Z85" s="56">
        <v>79030.999999999985</v>
      </c>
      <c r="AA85" s="56">
        <v>79320.000000000015</v>
      </c>
      <c r="AB85" s="56">
        <v>79604</v>
      </c>
      <c r="AC85" s="56">
        <v>79851.000000000029</v>
      </c>
      <c r="AD85" s="56">
        <v>80135.000000000015</v>
      </c>
      <c r="AE85" s="56">
        <v>80401</v>
      </c>
      <c r="AF85" s="56">
        <v>80567</v>
      </c>
      <c r="AG85" s="56">
        <v>80592.999999999985</v>
      </c>
    </row>
    <row r="86" spans="1:33" x14ac:dyDescent="0.3">
      <c r="A86" s="370" t="s">
        <v>34</v>
      </c>
      <c r="B86" s="370" t="s">
        <v>34</v>
      </c>
      <c r="C86" s="56">
        <v>261557216</v>
      </c>
      <c r="D86" s="56">
        <v>266988286.00000003</v>
      </c>
      <c r="E86" s="56">
        <v>272376502.99999994</v>
      </c>
      <c r="F86" s="56">
        <v>277704068</v>
      </c>
      <c r="G86" s="56">
        <v>282964219.00000006</v>
      </c>
      <c r="H86" s="56">
        <v>288155008.00000006</v>
      </c>
      <c r="I86" s="56">
        <v>293198109.00000006</v>
      </c>
      <c r="J86" s="56">
        <v>298167894.99999994</v>
      </c>
      <c r="K86" s="56">
        <v>303063140.99999988</v>
      </c>
      <c r="L86" s="56">
        <v>307922110.00000006</v>
      </c>
      <c r="M86" s="56">
        <v>312768522.99999994</v>
      </c>
      <c r="N86" s="56">
        <v>317420936</v>
      </c>
      <c r="O86" s="56">
        <v>322183074</v>
      </c>
      <c r="P86" s="56">
        <v>326972565</v>
      </c>
      <c r="Q86" s="56">
        <v>331653202.99999994</v>
      </c>
      <c r="R86" s="56">
        <v>336149868</v>
      </c>
      <c r="S86" s="56">
        <v>340849479.00000006</v>
      </c>
      <c r="T86" s="56">
        <v>345193595</v>
      </c>
      <c r="U86" s="56">
        <v>349302717.99999988</v>
      </c>
      <c r="V86" s="56">
        <v>353356940.00000006</v>
      </c>
      <c r="W86" s="56">
        <v>357411430.00000006</v>
      </c>
      <c r="X86" s="56">
        <v>361149238.99999988</v>
      </c>
      <c r="Y86" s="56">
        <v>364963341.99999994</v>
      </c>
      <c r="Z86" s="56">
        <v>368688404.00000006</v>
      </c>
      <c r="AA86" s="56">
        <v>372072403</v>
      </c>
      <c r="AB86" s="56">
        <v>374985258.00000012</v>
      </c>
      <c r="AC86" s="56">
        <v>377627304.00000012</v>
      </c>
      <c r="AD86" s="56">
        <v>379848492.00000006</v>
      </c>
      <c r="AE86" s="56">
        <v>381679946.00000006</v>
      </c>
      <c r="AF86" s="56">
        <v>383219002.99999994</v>
      </c>
      <c r="AG86" s="56">
        <v>384520375</v>
      </c>
    </row>
    <row r="87" spans="1:33" x14ac:dyDescent="0.3">
      <c r="A87" s="369" t="s">
        <v>35</v>
      </c>
      <c r="B87" s="370" t="s">
        <v>35</v>
      </c>
      <c r="C87" s="56">
        <v>58057368</v>
      </c>
      <c r="D87" s="56">
        <v>59000123.999999993</v>
      </c>
      <c r="E87" s="56">
        <v>59866234.000000007</v>
      </c>
      <c r="F87" s="56">
        <v>60665602.00000003</v>
      </c>
      <c r="G87" s="56">
        <v>61417784.999999993</v>
      </c>
      <c r="H87" s="56">
        <v>62143929.999999993</v>
      </c>
      <c r="I87" s="56">
        <v>63206561.000000015</v>
      </c>
      <c r="J87" s="56">
        <v>64152906</v>
      </c>
      <c r="K87" s="56">
        <v>64981224.999999993</v>
      </c>
      <c r="L87" s="56">
        <v>65707123.000000007</v>
      </c>
      <c r="M87" s="56">
        <v>66364753</v>
      </c>
      <c r="N87" s="56">
        <v>67072811.999999993</v>
      </c>
      <c r="O87" s="56">
        <v>67733517</v>
      </c>
      <c r="P87" s="56">
        <v>68368911</v>
      </c>
      <c r="Q87" s="56">
        <v>68998506.999999985</v>
      </c>
      <c r="R87" s="56">
        <v>69620097</v>
      </c>
      <c r="S87" s="56">
        <v>70108908.000000015</v>
      </c>
      <c r="T87" s="56">
        <v>70647371</v>
      </c>
      <c r="U87" s="56">
        <v>71184768</v>
      </c>
      <c r="V87" s="56">
        <v>71651521</v>
      </c>
      <c r="W87" s="56">
        <v>72021121</v>
      </c>
      <c r="X87" s="56">
        <v>72424730.000000015</v>
      </c>
      <c r="Y87" s="56">
        <v>72702446</v>
      </c>
      <c r="Z87" s="56">
        <v>72906823.000000015</v>
      </c>
      <c r="AA87" s="56">
        <v>73120530.000000015</v>
      </c>
      <c r="AB87" s="56">
        <v>73382351</v>
      </c>
      <c r="AC87" s="56">
        <v>73661864.000000015</v>
      </c>
      <c r="AD87" s="56">
        <v>73992876.00000003</v>
      </c>
      <c r="AE87" s="56">
        <v>74339274</v>
      </c>
      <c r="AF87" s="56">
        <v>74634774</v>
      </c>
      <c r="AG87" s="56">
        <v>74843859</v>
      </c>
    </row>
    <row r="88" spans="1:33" x14ac:dyDescent="0.3">
      <c r="A88" s="370" t="s">
        <v>721</v>
      </c>
      <c r="B88" s="370" t="s">
        <v>721</v>
      </c>
      <c r="C88" s="56">
        <v>17596872</v>
      </c>
      <c r="D88" s="56">
        <v>18232433</v>
      </c>
      <c r="E88" s="56">
        <v>18861097.000000004</v>
      </c>
      <c r="F88" s="56">
        <v>19470878.999999996</v>
      </c>
      <c r="G88" s="56">
        <v>20043082.000000004</v>
      </c>
      <c r="H88" s="56">
        <v>20565217.000000007</v>
      </c>
      <c r="I88" s="56">
        <v>20991878.999999996</v>
      </c>
      <c r="J88" s="56">
        <v>21378640.999999996</v>
      </c>
      <c r="K88" s="56">
        <v>21712974</v>
      </c>
      <c r="L88" s="56">
        <v>21987186</v>
      </c>
      <c r="M88" s="56">
        <v>22199685</v>
      </c>
      <c r="N88" s="56">
        <v>22395354.999999996</v>
      </c>
      <c r="O88" s="56">
        <v>22540298.999999996</v>
      </c>
      <c r="P88" s="56">
        <v>22648494.999999989</v>
      </c>
      <c r="Q88" s="56">
        <v>22735623</v>
      </c>
      <c r="R88" s="56">
        <v>22810102.999999993</v>
      </c>
      <c r="S88" s="56">
        <v>22876525.000000004</v>
      </c>
      <c r="T88" s="56">
        <v>22919215.999999996</v>
      </c>
      <c r="U88" s="56">
        <v>22950772.999999996</v>
      </c>
      <c r="V88" s="56">
        <v>22989256</v>
      </c>
      <c r="W88" s="56">
        <v>23043349.999999996</v>
      </c>
      <c r="X88" s="56">
        <v>23089217.000000007</v>
      </c>
      <c r="Y88" s="56">
        <v>23169482.999999996</v>
      </c>
      <c r="Z88" s="56">
        <v>23264029</v>
      </c>
      <c r="AA88" s="56">
        <v>23341478.999999996</v>
      </c>
      <c r="AB88" s="56">
        <v>23386264</v>
      </c>
      <c r="AC88" s="56">
        <v>23459907</v>
      </c>
      <c r="AD88" s="56">
        <v>23487618</v>
      </c>
      <c r="AE88" s="56">
        <v>23480127</v>
      </c>
      <c r="AF88" s="56">
        <v>23452651</v>
      </c>
      <c r="AG88" s="56">
        <v>23409429</v>
      </c>
    </row>
    <row r="89" spans="1:33" x14ac:dyDescent="0.3">
      <c r="A89" s="369" t="s">
        <v>72</v>
      </c>
      <c r="B89" s="370" t="s">
        <v>72</v>
      </c>
      <c r="C89" s="56">
        <v>5590678</v>
      </c>
      <c r="D89" s="56">
        <v>5767130.9999999981</v>
      </c>
      <c r="E89" s="56">
        <v>5943074.0000000019</v>
      </c>
      <c r="F89" s="56">
        <v>6115537.0000000028</v>
      </c>
      <c r="G89" s="56">
        <v>6281579.9999999991</v>
      </c>
      <c r="H89" s="56">
        <v>6440863</v>
      </c>
      <c r="I89" s="56">
        <v>6561002.9999999991</v>
      </c>
      <c r="J89" s="56">
        <v>6671759.0000000009</v>
      </c>
      <c r="K89" s="56">
        <v>6790351.0000000009</v>
      </c>
      <c r="L89" s="56">
        <v>6937138</v>
      </c>
      <c r="M89" s="56">
        <v>7124217.0000000019</v>
      </c>
      <c r="N89" s="56">
        <v>7444278.9999999963</v>
      </c>
      <c r="O89" s="56">
        <v>7804093.0000000019</v>
      </c>
      <c r="P89" s="56">
        <v>8184318.0000000009</v>
      </c>
      <c r="Q89" s="56">
        <v>8559962.0000000019</v>
      </c>
      <c r="R89" s="56">
        <v>8912888</v>
      </c>
      <c r="S89" s="56">
        <v>9177506</v>
      </c>
      <c r="T89" s="56">
        <v>9428424.9999999981</v>
      </c>
      <c r="U89" s="56">
        <v>9668361</v>
      </c>
      <c r="V89" s="56">
        <v>9901625.9999999944</v>
      </c>
      <c r="W89" s="56">
        <v>10134366</v>
      </c>
      <c r="X89" s="56">
        <v>10400136.000000002</v>
      </c>
      <c r="Y89" s="56">
        <v>10654317.000000004</v>
      </c>
      <c r="Z89" s="56">
        <v>10905199.999999998</v>
      </c>
      <c r="AA89" s="56">
        <v>11165161.999999998</v>
      </c>
      <c r="AB89" s="56">
        <v>11438583.999999994</v>
      </c>
      <c r="AC89" s="56">
        <v>11700148.000000004</v>
      </c>
      <c r="AD89" s="56">
        <v>11978884.000000002</v>
      </c>
      <c r="AE89" s="56">
        <v>12267395.000000002</v>
      </c>
      <c r="AF89" s="56">
        <v>12552599.000000002</v>
      </c>
      <c r="AG89" s="56">
        <v>12827836.000000006</v>
      </c>
    </row>
    <row r="90" spans="1:33" x14ac:dyDescent="0.3">
      <c r="A90" s="369" t="s">
        <v>339</v>
      </c>
      <c r="B90" s="370" t="s">
        <v>339</v>
      </c>
      <c r="C90" s="56">
        <v>1003577</v>
      </c>
      <c r="D90" s="56">
        <v>1022281.9999999999</v>
      </c>
      <c r="E90" s="56">
        <v>1040773.0000000003</v>
      </c>
      <c r="F90" s="56">
        <v>1059138.0000000005</v>
      </c>
      <c r="G90" s="56">
        <v>1077752.0000000002</v>
      </c>
      <c r="H90" s="56">
        <v>1096798</v>
      </c>
      <c r="I90" s="56">
        <v>1117590.0000000002</v>
      </c>
      <c r="J90" s="56">
        <v>1139146.0000000002</v>
      </c>
      <c r="K90" s="56">
        <v>1159303.9999999998</v>
      </c>
      <c r="L90" s="56">
        <v>1175520.0000000002</v>
      </c>
      <c r="M90" s="56">
        <v>1186268.9999999998</v>
      </c>
      <c r="N90" s="56">
        <v>1181036.0000000005</v>
      </c>
      <c r="O90" s="56">
        <v>1170636</v>
      </c>
      <c r="P90" s="56">
        <v>1157696.9999999998</v>
      </c>
      <c r="Q90" s="56">
        <v>1145674</v>
      </c>
      <c r="R90" s="56">
        <v>1137022</v>
      </c>
      <c r="S90" s="56">
        <v>1140854</v>
      </c>
      <c r="T90" s="56">
        <v>1148392.0000000002</v>
      </c>
      <c r="U90" s="56">
        <v>1158124</v>
      </c>
      <c r="V90" s="56">
        <v>1167724.0000000002</v>
      </c>
      <c r="W90" s="56">
        <v>1175406</v>
      </c>
      <c r="X90" s="56">
        <v>1180050.9999999998</v>
      </c>
      <c r="Y90" s="56">
        <v>1182431.9999999998</v>
      </c>
      <c r="Z90" s="56">
        <v>1183111.9999999998</v>
      </c>
      <c r="AA90" s="56">
        <v>1182950</v>
      </c>
      <c r="AB90" s="56">
        <v>1182417</v>
      </c>
      <c r="AC90" s="56">
        <v>1181677</v>
      </c>
      <c r="AD90" s="56">
        <v>1180922.0000000002</v>
      </c>
      <c r="AE90" s="56">
        <v>1179614.0000000002</v>
      </c>
      <c r="AF90" s="56">
        <v>1176962</v>
      </c>
      <c r="AG90" s="56">
        <v>1172609.0000000002</v>
      </c>
    </row>
    <row r="91" spans="1:33" x14ac:dyDescent="0.3">
      <c r="A91" s="369" t="s">
        <v>315</v>
      </c>
      <c r="B91" s="370" t="s">
        <v>315</v>
      </c>
      <c r="C91" s="56">
        <v>1486683.0000000002</v>
      </c>
      <c r="D91" s="56">
        <v>1506657</v>
      </c>
      <c r="E91" s="56">
        <v>1524540</v>
      </c>
      <c r="F91" s="56">
        <v>1541964.0000000002</v>
      </c>
      <c r="G91" s="56">
        <v>1560982</v>
      </c>
      <c r="H91" s="56">
        <v>1583116</v>
      </c>
      <c r="I91" s="56">
        <v>1613162.9999999995</v>
      </c>
      <c r="J91" s="56">
        <v>1646256.9999999998</v>
      </c>
      <c r="K91" s="56">
        <v>1680766</v>
      </c>
      <c r="L91" s="56">
        <v>1714239</v>
      </c>
      <c r="M91" s="56">
        <v>1744597.0000000005</v>
      </c>
      <c r="N91" s="56">
        <v>1771348</v>
      </c>
      <c r="O91" s="56">
        <v>1795247</v>
      </c>
      <c r="P91" s="56">
        <v>1817385.9999999998</v>
      </c>
      <c r="Q91" s="56">
        <v>1839480</v>
      </c>
      <c r="R91" s="56">
        <v>1862869.9999999998</v>
      </c>
      <c r="S91" s="56">
        <v>1886411</v>
      </c>
      <c r="T91" s="56">
        <v>1912155.0000000002</v>
      </c>
      <c r="U91" s="56">
        <v>1939008.9999999998</v>
      </c>
      <c r="V91" s="56">
        <v>1965408</v>
      </c>
      <c r="W91" s="56">
        <v>1990437.9999999998</v>
      </c>
      <c r="X91" s="56">
        <v>2016591.0000000005</v>
      </c>
      <c r="Y91" s="56">
        <v>2041413.0000000002</v>
      </c>
      <c r="Z91" s="56">
        <v>2065601.9999999998</v>
      </c>
      <c r="AA91" s="56">
        <v>2090270</v>
      </c>
      <c r="AB91" s="56">
        <v>2115949.9999999995</v>
      </c>
      <c r="AC91" s="56">
        <v>2143867</v>
      </c>
      <c r="AD91" s="56">
        <v>2172638.9999999995</v>
      </c>
      <c r="AE91" s="56">
        <v>2202040.9999999995</v>
      </c>
      <c r="AF91" s="56">
        <v>2231597.0000000005</v>
      </c>
      <c r="AG91" s="56">
        <v>2260926.0000000009</v>
      </c>
    </row>
    <row r="92" spans="1:33" x14ac:dyDescent="0.3">
      <c r="A92" s="369" t="s">
        <v>349</v>
      </c>
      <c r="B92" s="370" t="s">
        <v>349</v>
      </c>
      <c r="C92" s="56">
        <v>13768396</v>
      </c>
      <c r="D92" s="56">
        <v>13751578</v>
      </c>
      <c r="E92" s="56">
        <v>13759470.000000002</v>
      </c>
      <c r="F92" s="56">
        <v>13781038.000000002</v>
      </c>
      <c r="G92" s="56">
        <v>13799462.999999998</v>
      </c>
      <c r="H92" s="56">
        <v>13802249.999999996</v>
      </c>
      <c r="I92" s="56">
        <v>13802476.999999998</v>
      </c>
      <c r="J92" s="56">
        <v>13792494.999999998</v>
      </c>
      <c r="K92" s="56">
        <v>13770994.999999996</v>
      </c>
      <c r="L92" s="56">
        <v>13736503.999999998</v>
      </c>
      <c r="M92" s="56">
        <v>13687657.000000002</v>
      </c>
      <c r="N92" s="56">
        <v>13622894</v>
      </c>
      <c r="O92" s="56">
        <v>13544270</v>
      </c>
      <c r="P92" s="56">
        <v>13446425</v>
      </c>
      <c r="Q92" s="56">
        <v>13327598.999999998</v>
      </c>
      <c r="R92" s="56">
        <v>13189043.000000002</v>
      </c>
      <c r="S92" s="56">
        <v>13036291</v>
      </c>
      <c r="T92" s="56">
        <v>12871179.999999996</v>
      </c>
      <c r="U92" s="56">
        <v>12698228.000000002</v>
      </c>
      <c r="V92" s="56">
        <v>12521530.000000002</v>
      </c>
      <c r="W92" s="56">
        <v>12343055.000000002</v>
      </c>
      <c r="X92" s="56">
        <v>12171373.000000002</v>
      </c>
      <c r="Y92" s="56">
        <v>12001139</v>
      </c>
      <c r="Z92" s="56">
        <v>11834118.999999998</v>
      </c>
      <c r="AA92" s="56">
        <v>11673241</v>
      </c>
      <c r="AB92" s="56">
        <v>11520010</v>
      </c>
      <c r="AC92" s="56">
        <v>11379479.999999998</v>
      </c>
      <c r="AD92" s="56">
        <v>11250564</v>
      </c>
      <c r="AE92" s="56">
        <v>11129836.000000004</v>
      </c>
      <c r="AF92" s="56">
        <v>11012534</v>
      </c>
      <c r="AG92" s="56">
        <v>10895368.999999998</v>
      </c>
    </row>
    <row r="93" spans="1:33" x14ac:dyDescent="0.3">
      <c r="A93" s="369" t="s">
        <v>194</v>
      </c>
      <c r="B93" s="370" t="s">
        <v>194</v>
      </c>
      <c r="C93" s="56">
        <v>683902</v>
      </c>
      <c r="D93" s="56">
        <v>693251.00000000012</v>
      </c>
      <c r="E93" s="56">
        <v>702106.99999999988</v>
      </c>
      <c r="F93" s="56">
        <v>709757.00000000023</v>
      </c>
      <c r="G93" s="56">
        <v>715662</v>
      </c>
      <c r="H93" s="56">
        <v>719890</v>
      </c>
      <c r="I93" s="56">
        <v>726398.99999999988</v>
      </c>
      <c r="J93" s="56">
        <v>732002</v>
      </c>
      <c r="K93" s="56">
        <v>737110.00000000012</v>
      </c>
      <c r="L93" s="56">
        <v>742489</v>
      </c>
      <c r="M93" s="56">
        <v>748637</v>
      </c>
      <c r="N93" s="56">
        <v>755236.99999999988</v>
      </c>
      <c r="O93" s="56">
        <v>762181</v>
      </c>
      <c r="P93" s="56">
        <v>768909.00000000012</v>
      </c>
      <c r="Q93" s="56">
        <v>774609.99999999988</v>
      </c>
      <c r="R93" s="56">
        <v>778840.99999999977</v>
      </c>
      <c r="S93" s="56">
        <v>781334.99999999977</v>
      </c>
      <c r="T93" s="56">
        <v>782827.99999999988</v>
      </c>
      <c r="U93" s="56">
        <v>783342.99999999988</v>
      </c>
      <c r="V93" s="56">
        <v>783055.00000000012</v>
      </c>
      <c r="W93" s="56">
        <v>782198</v>
      </c>
      <c r="X93" s="56">
        <v>781523</v>
      </c>
      <c r="Y93" s="56">
        <v>780016.00000000012</v>
      </c>
      <c r="Z93" s="56">
        <v>778100</v>
      </c>
      <c r="AA93" s="56">
        <v>776313</v>
      </c>
      <c r="AB93" s="56">
        <v>774956.99999999988</v>
      </c>
      <c r="AC93" s="56">
        <v>774263.00000000012</v>
      </c>
      <c r="AD93" s="56">
        <v>773954.99999999988</v>
      </c>
      <c r="AE93" s="56">
        <v>773698.00000000023</v>
      </c>
      <c r="AF93" s="56">
        <v>772883.99999999988</v>
      </c>
      <c r="AG93" s="56">
        <v>771151</v>
      </c>
    </row>
    <row r="94" spans="1:33" x14ac:dyDescent="0.3">
      <c r="A94" s="369" t="s">
        <v>302</v>
      </c>
      <c r="B94" s="370" t="s">
        <v>302</v>
      </c>
      <c r="C94" s="56">
        <v>29436810</v>
      </c>
      <c r="D94" s="56">
        <v>29133411.999999996</v>
      </c>
      <c r="E94" s="56">
        <v>28867399.000000004</v>
      </c>
      <c r="F94" s="56">
        <v>28628471</v>
      </c>
      <c r="G94" s="56">
        <v>28399102.999999996</v>
      </c>
      <c r="H94" s="56">
        <v>28169166.999999993</v>
      </c>
      <c r="I94" s="56">
        <v>28002029.999999996</v>
      </c>
      <c r="J94" s="56">
        <v>27840167.999999996</v>
      </c>
      <c r="K94" s="56">
        <v>27678955</v>
      </c>
      <c r="L94" s="56">
        <v>27510916</v>
      </c>
      <c r="M94" s="56">
        <v>27326675.000000004</v>
      </c>
      <c r="N94" s="56">
        <v>27160511</v>
      </c>
      <c r="O94" s="56">
        <v>26980717</v>
      </c>
      <c r="P94" s="56">
        <v>26782348</v>
      </c>
      <c r="Q94" s="56">
        <v>26561540.999999996</v>
      </c>
      <c r="R94" s="56">
        <v>26315565</v>
      </c>
      <c r="S94" s="56">
        <v>26073991</v>
      </c>
      <c r="T94" s="56">
        <v>25819774.000000004</v>
      </c>
      <c r="U94" s="56">
        <v>25540168.999999996</v>
      </c>
      <c r="V94" s="56">
        <v>25215665</v>
      </c>
      <c r="W94" s="56">
        <v>24835031.000000004</v>
      </c>
      <c r="X94" s="56">
        <v>24455034.999999996</v>
      </c>
      <c r="Y94" s="56">
        <v>24020021.999999993</v>
      </c>
      <c r="Z94" s="56">
        <v>23557588.999999996</v>
      </c>
      <c r="AA94" s="56">
        <v>23109234.999999993</v>
      </c>
      <c r="AB94" s="56">
        <v>22697809.999999996</v>
      </c>
      <c r="AC94" s="56">
        <v>22354184.999999996</v>
      </c>
      <c r="AD94" s="56">
        <v>22057753</v>
      </c>
      <c r="AE94" s="56">
        <v>21790571.999999996</v>
      </c>
      <c r="AF94" s="56">
        <v>21521930</v>
      </c>
      <c r="AG94" s="56">
        <v>21231823</v>
      </c>
    </row>
    <row r="95" spans="1:33" x14ac:dyDescent="0.3">
      <c r="A95" s="369" t="s">
        <v>195</v>
      </c>
      <c r="B95" s="370" t="s">
        <v>195</v>
      </c>
      <c r="C95" s="56">
        <v>1236096.9999999998</v>
      </c>
      <c r="D95" s="56">
        <v>1268224.9999999998</v>
      </c>
      <c r="E95" s="56">
        <v>1301127</v>
      </c>
      <c r="F95" s="56">
        <v>1337918</v>
      </c>
      <c r="G95" s="56">
        <v>1382137.9999999998</v>
      </c>
      <c r="H95" s="56">
        <v>1435434.9999999998</v>
      </c>
      <c r="I95" s="56">
        <v>1497816</v>
      </c>
      <c r="J95" s="56">
        <v>1570408.0000000007</v>
      </c>
      <c r="K95" s="56">
        <v>1652092.9999999995</v>
      </c>
      <c r="L95" s="56">
        <v>1741643.0000000002</v>
      </c>
      <c r="M95" s="56">
        <v>1837769.9999999998</v>
      </c>
      <c r="N95" s="56">
        <v>1945009.9999999998</v>
      </c>
      <c r="O95" s="56">
        <v>2059351.0000000005</v>
      </c>
      <c r="P95" s="56">
        <v>2174783.0000000005</v>
      </c>
      <c r="Q95" s="56">
        <v>2284615.9999999995</v>
      </c>
      <c r="R95" s="56">
        <v>2384794</v>
      </c>
      <c r="S95" s="56">
        <v>2470676.9999999991</v>
      </c>
      <c r="T95" s="56">
        <v>2543517</v>
      </c>
      <c r="U95" s="56">
        <v>2604546.9999999995</v>
      </c>
      <c r="V95" s="56">
        <v>2655131.9999999995</v>
      </c>
      <c r="W95" s="56">
        <v>2696578.0000000014</v>
      </c>
      <c r="X95" s="56">
        <v>2727870</v>
      </c>
      <c r="Y95" s="56">
        <v>2745113.0000000005</v>
      </c>
      <c r="Z95" s="56">
        <v>2754147</v>
      </c>
      <c r="AA95" s="56">
        <v>2762363.0000000005</v>
      </c>
      <c r="AB95" s="56">
        <v>2773964.0000000005</v>
      </c>
      <c r="AC95" s="56">
        <v>2784086.9999999995</v>
      </c>
      <c r="AD95" s="56">
        <v>2801636.9999999986</v>
      </c>
      <c r="AE95" s="56">
        <v>2822982</v>
      </c>
      <c r="AF95" s="56">
        <v>2842433.9999999995</v>
      </c>
      <c r="AG95" s="56">
        <v>2857107.9999999991</v>
      </c>
    </row>
    <row r="96" spans="1:33" x14ac:dyDescent="0.3">
      <c r="A96" s="369" t="s">
        <v>196</v>
      </c>
      <c r="B96" s="370" t="s">
        <v>196</v>
      </c>
      <c r="C96" s="56">
        <v>4105687.0000000009</v>
      </c>
      <c r="D96" s="56">
        <v>4139173.0000000005</v>
      </c>
      <c r="E96" s="56">
        <v>4190566.9999999991</v>
      </c>
      <c r="F96" s="56">
        <v>4254423.0000000009</v>
      </c>
      <c r="G96" s="56">
        <v>4319803.9999999991</v>
      </c>
      <c r="H96" s="56">
        <v>4377922.0000000009</v>
      </c>
      <c r="I96" s="56">
        <v>4422112</v>
      </c>
      <c r="J96" s="56">
        <v>4463931</v>
      </c>
      <c r="K96" s="56">
        <v>4505404</v>
      </c>
      <c r="L96" s="56">
        <v>4546871.9999999981</v>
      </c>
      <c r="M96" s="56">
        <v>4585544.9999999991</v>
      </c>
      <c r="N96" s="56">
        <v>4590999.9999999991</v>
      </c>
      <c r="O96" s="56">
        <v>4588316</v>
      </c>
      <c r="P96" s="56">
        <v>4575783.0000000009</v>
      </c>
      <c r="Q96" s="56">
        <v>4557134</v>
      </c>
      <c r="R96" s="56">
        <v>4538009.9999999991</v>
      </c>
      <c r="S96" s="56">
        <v>4520070.0000000019</v>
      </c>
      <c r="T96" s="56">
        <v>4505219</v>
      </c>
      <c r="U96" s="56">
        <v>4495673</v>
      </c>
      <c r="V96" s="56">
        <v>4492843.0000000009</v>
      </c>
      <c r="W96" s="56">
        <v>4497550</v>
      </c>
      <c r="X96" s="56">
        <v>4520449.0000000009</v>
      </c>
      <c r="Y96" s="56">
        <v>4549841</v>
      </c>
      <c r="Z96" s="56">
        <v>4586889.0000000009</v>
      </c>
      <c r="AA96" s="56">
        <v>4631795</v>
      </c>
      <c r="AB96" s="56">
        <v>4683710.0000000009</v>
      </c>
      <c r="AC96" s="56">
        <v>4744357.0000000009</v>
      </c>
      <c r="AD96" s="56">
        <v>4809215</v>
      </c>
      <c r="AE96" s="56">
        <v>4876748.0000000009</v>
      </c>
      <c r="AF96" s="56">
        <v>4944431.0000000009</v>
      </c>
      <c r="AG96" s="56">
        <v>5009901.9999999991</v>
      </c>
    </row>
    <row r="97" spans="1:33" x14ac:dyDescent="0.3">
      <c r="A97" s="369" t="s">
        <v>36</v>
      </c>
      <c r="B97" s="370" t="s">
        <v>36</v>
      </c>
      <c r="C97" s="56">
        <v>7685684</v>
      </c>
      <c r="D97" s="56">
        <v>7922665.0000000019</v>
      </c>
      <c r="E97" s="56">
        <v>8182355</v>
      </c>
      <c r="F97" s="56">
        <v>8456028</v>
      </c>
      <c r="G97" s="56">
        <v>8729851.9999999981</v>
      </c>
      <c r="H97" s="56">
        <v>8997842.0000000019</v>
      </c>
      <c r="I97" s="56">
        <v>9266849.9999999981</v>
      </c>
      <c r="J97" s="56">
        <v>9528242.9999999963</v>
      </c>
      <c r="K97" s="56">
        <v>9790241.9999999981</v>
      </c>
      <c r="L97" s="56">
        <v>10067688</v>
      </c>
      <c r="M97" s="56">
        <v>10368506</v>
      </c>
      <c r="N97" s="56">
        <v>10678237.000000004</v>
      </c>
      <c r="O97" s="56">
        <v>11014127.000000002</v>
      </c>
      <c r="P97" s="56">
        <v>11370047</v>
      </c>
      <c r="Q97" s="56">
        <v>11735875</v>
      </c>
      <c r="R97" s="56">
        <v>12106417.000000002</v>
      </c>
      <c r="S97" s="56">
        <v>12485181.000000002</v>
      </c>
      <c r="T97" s="56">
        <v>12867953.999999998</v>
      </c>
      <c r="U97" s="56">
        <v>13256322</v>
      </c>
      <c r="V97" s="56">
        <v>13652231.000000002</v>
      </c>
      <c r="W97" s="56">
        <v>14055237</v>
      </c>
      <c r="X97" s="56">
        <v>14468664.000000002</v>
      </c>
      <c r="Y97" s="56">
        <v>14879142.000000004</v>
      </c>
      <c r="Z97" s="56">
        <v>15287989.000000004</v>
      </c>
      <c r="AA97" s="56">
        <v>15696663</v>
      </c>
      <c r="AB97" s="56">
        <v>16104121.000000002</v>
      </c>
      <c r="AC97" s="56">
        <v>16488844.000000002</v>
      </c>
      <c r="AD97" s="56">
        <v>16879128.000000007</v>
      </c>
      <c r="AE97" s="56">
        <v>17266175.000000004</v>
      </c>
      <c r="AF97" s="56">
        <v>17638356.000000007</v>
      </c>
      <c r="AG97" s="56">
        <v>17990542.000000004</v>
      </c>
    </row>
    <row r="98" spans="1:33" x14ac:dyDescent="0.3">
      <c r="A98" s="369" t="s">
        <v>402</v>
      </c>
      <c r="B98" s="370" t="s">
        <v>402</v>
      </c>
      <c r="C98" s="56">
        <v>21323.000000000007</v>
      </c>
      <c r="D98" s="56">
        <v>21789.999999999996</v>
      </c>
      <c r="E98" s="56">
        <v>22404.999999999996</v>
      </c>
      <c r="F98" s="56">
        <v>23098.999999999996</v>
      </c>
      <c r="G98" s="56">
        <v>23757.999999999996</v>
      </c>
      <c r="H98" s="56">
        <v>24313.999999999993</v>
      </c>
      <c r="I98" s="56">
        <v>25086.999999999996</v>
      </c>
      <c r="J98" s="56">
        <v>25632</v>
      </c>
      <c r="K98" s="56">
        <v>26071.000000000004</v>
      </c>
      <c r="L98" s="56">
        <v>26573</v>
      </c>
      <c r="M98" s="56">
        <v>27179.000000000007</v>
      </c>
      <c r="N98" s="56">
        <v>27528.999999999996</v>
      </c>
      <c r="O98" s="56">
        <v>28040.000000000004</v>
      </c>
      <c r="P98" s="56">
        <v>28623.000000000004</v>
      </c>
      <c r="Q98" s="56">
        <v>29116</v>
      </c>
      <c r="R98" s="56">
        <v>29444.999999999996</v>
      </c>
      <c r="S98" s="56">
        <v>29648.999999999996</v>
      </c>
      <c r="T98" s="56">
        <v>29644.999999999996</v>
      </c>
      <c r="U98" s="56">
        <v>29544.999999999996</v>
      </c>
      <c r="V98" s="56">
        <v>29541</v>
      </c>
      <c r="W98" s="56">
        <v>29729.999999999993</v>
      </c>
      <c r="X98" s="56">
        <v>30096.000000000004</v>
      </c>
      <c r="Y98" s="56">
        <v>30664.999999999993</v>
      </c>
      <c r="Z98" s="56">
        <v>31357.000000000004</v>
      </c>
      <c r="AA98" s="56">
        <v>32040.999999999989</v>
      </c>
      <c r="AB98" s="56">
        <v>32644.999999999996</v>
      </c>
      <c r="AC98" s="56">
        <v>33235.999999999993</v>
      </c>
      <c r="AD98" s="56">
        <v>33755</v>
      </c>
      <c r="AE98" s="56">
        <v>34225.000000000007</v>
      </c>
      <c r="AF98" s="56">
        <v>34687</v>
      </c>
      <c r="AG98" s="56">
        <v>35169.000000000007</v>
      </c>
    </row>
    <row r="99" spans="1:33" x14ac:dyDescent="0.3">
      <c r="A99" s="369" t="s">
        <v>316</v>
      </c>
      <c r="B99" s="370" t="s">
        <v>316</v>
      </c>
      <c r="C99" s="56">
        <v>502293.99999999988</v>
      </c>
      <c r="D99" s="56">
        <v>515787.00000000006</v>
      </c>
      <c r="E99" s="56">
        <v>525394.99999999988</v>
      </c>
      <c r="F99" s="56">
        <v>533801</v>
      </c>
      <c r="G99" s="56">
        <v>545238</v>
      </c>
      <c r="H99" s="56">
        <v>563358.99999999988</v>
      </c>
      <c r="I99" s="56">
        <v>603609.00000000012</v>
      </c>
      <c r="J99" s="56">
        <v>650148.00000000012</v>
      </c>
      <c r="K99" s="56">
        <v>701233.00000000023</v>
      </c>
      <c r="L99" s="56">
        <v>755368.99999999988</v>
      </c>
      <c r="M99" s="56">
        <v>810893.99999999988</v>
      </c>
      <c r="N99" s="56">
        <v>857277</v>
      </c>
      <c r="O99" s="56">
        <v>904031.99999999988</v>
      </c>
      <c r="P99" s="56">
        <v>947448.00000000023</v>
      </c>
      <c r="Q99" s="56">
        <v>982031.99999999988</v>
      </c>
      <c r="R99" s="56">
        <v>1004565.9999999994</v>
      </c>
      <c r="S99" s="56">
        <v>1006243.9999999998</v>
      </c>
      <c r="T99" s="56">
        <v>996149</v>
      </c>
      <c r="U99" s="56">
        <v>978696.99999999988</v>
      </c>
      <c r="V99" s="56">
        <v>960157.99999999988</v>
      </c>
      <c r="W99" s="56">
        <v>944762</v>
      </c>
      <c r="X99" s="56">
        <v>939968</v>
      </c>
      <c r="Y99" s="56">
        <v>939345.00000000012</v>
      </c>
      <c r="Z99" s="56">
        <v>941368</v>
      </c>
      <c r="AA99" s="56">
        <v>943901.99999999988</v>
      </c>
      <c r="AB99" s="56">
        <v>945735</v>
      </c>
      <c r="AC99" s="56">
        <v>948041</v>
      </c>
      <c r="AD99" s="56">
        <v>950150</v>
      </c>
      <c r="AE99" s="56">
        <v>952111</v>
      </c>
      <c r="AF99" s="56">
        <v>954178.00000000023</v>
      </c>
      <c r="AG99" s="56">
        <v>956545</v>
      </c>
    </row>
    <row r="100" spans="1:33" x14ac:dyDescent="0.3">
      <c r="A100" s="370" t="s">
        <v>796</v>
      </c>
      <c r="B100" s="370" t="s">
        <v>796</v>
      </c>
      <c r="C100" s="56">
        <v>1281420</v>
      </c>
      <c r="D100" s="56">
        <v>1307564.9999999998</v>
      </c>
      <c r="E100" s="56">
        <v>1331968.0000000002</v>
      </c>
      <c r="F100" s="56">
        <v>1356276.9999999998</v>
      </c>
      <c r="G100" s="56">
        <v>1381610.9999999998</v>
      </c>
      <c r="H100" s="56">
        <v>1408191.0000000002</v>
      </c>
      <c r="I100" s="56">
        <v>1428946</v>
      </c>
      <c r="J100" s="56">
        <v>1450879.0000000005</v>
      </c>
      <c r="K100" s="56">
        <v>1472697</v>
      </c>
      <c r="L100" s="56">
        <v>1493244</v>
      </c>
      <c r="M100" s="56">
        <v>1511875</v>
      </c>
      <c r="N100" s="56">
        <v>1524554</v>
      </c>
      <c r="O100" s="56">
        <v>1534609</v>
      </c>
      <c r="P100" s="56">
        <v>1543198.9999999998</v>
      </c>
      <c r="Q100" s="56">
        <v>1552132.9999999998</v>
      </c>
      <c r="R100" s="56">
        <v>1562652.9999999998</v>
      </c>
      <c r="S100" s="56">
        <v>1573095.9999999998</v>
      </c>
      <c r="T100" s="56">
        <v>1587426.0000000002</v>
      </c>
      <c r="U100" s="56">
        <v>1603816</v>
      </c>
      <c r="V100" s="56">
        <v>1619998.9999999998</v>
      </c>
      <c r="W100" s="56">
        <v>1635236.9999999998</v>
      </c>
      <c r="X100" s="56">
        <v>1654789</v>
      </c>
      <c r="Y100" s="56">
        <v>1671393.9999999991</v>
      </c>
      <c r="Z100" s="56">
        <v>1687812.0000000002</v>
      </c>
      <c r="AA100" s="56">
        <v>1707818.0000000005</v>
      </c>
      <c r="AB100" s="56">
        <v>1733048.9999999998</v>
      </c>
      <c r="AC100" s="56">
        <v>1761785.9999999998</v>
      </c>
      <c r="AD100" s="56">
        <v>1795044.9999999998</v>
      </c>
      <c r="AE100" s="56">
        <v>1831036.0000000002</v>
      </c>
      <c r="AF100" s="56">
        <v>1866356.0000000005</v>
      </c>
      <c r="AG100" s="56">
        <v>1898832.9999999998</v>
      </c>
    </row>
    <row r="101" spans="1:33" x14ac:dyDescent="0.3">
      <c r="A101" s="369" t="s">
        <v>727</v>
      </c>
      <c r="B101" s="370" t="s">
        <v>116</v>
      </c>
      <c r="C101" s="56">
        <v>1240211.0000000005</v>
      </c>
      <c r="D101" s="56">
        <v>1275172.0000000002</v>
      </c>
      <c r="E101" s="56">
        <v>1310490.0000000002</v>
      </c>
      <c r="F101" s="56">
        <v>1347081.0000000005</v>
      </c>
      <c r="G101" s="56">
        <v>1385998.0000000005</v>
      </c>
      <c r="H101" s="56">
        <v>1427408.9999999998</v>
      </c>
      <c r="I101" s="56">
        <v>1471643</v>
      </c>
      <c r="J101" s="56">
        <v>1516856.0000000005</v>
      </c>
      <c r="K101" s="56">
        <v>1561901.0000000002</v>
      </c>
      <c r="L101" s="56">
        <v>1605151.9999999995</v>
      </c>
      <c r="M101" s="56">
        <v>1645642</v>
      </c>
      <c r="N101" s="56">
        <v>1679883.9999999998</v>
      </c>
      <c r="O101" s="56">
        <v>1712068.9999999998</v>
      </c>
      <c r="P101" s="56">
        <v>1742352.0000000005</v>
      </c>
      <c r="Q101" s="56">
        <v>1770990.0000000002</v>
      </c>
      <c r="R101" s="56">
        <v>1798511.9999999998</v>
      </c>
      <c r="S101" s="56">
        <v>1830720.0000000007</v>
      </c>
      <c r="T101" s="56">
        <v>1861940.0000000002</v>
      </c>
      <c r="U101" s="56">
        <v>1892500</v>
      </c>
      <c r="V101" s="56">
        <v>1923163</v>
      </c>
      <c r="W101" s="56">
        <v>1954088.0000000002</v>
      </c>
      <c r="X101" s="56">
        <v>1983505</v>
      </c>
      <c r="Y101" s="56">
        <v>2013614</v>
      </c>
      <c r="Z101" s="56">
        <v>2043785.0000000002</v>
      </c>
      <c r="AA101" s="56">
        <v>2072853.9999999998</v>
      </c>
      <c r="AB101" s="56">
        <v>2100267</v>
      </c>
      <c r="AC101" s="56">
        <v>2128015</v>
      </c>
      <c r="AD101" s="56">
        <v>2153676.9999999995</v>
      </c>
      <c r="AE101" s="56">
        <v>2177698</v>
      </c>
      <c r="AF101" s="56">
        <v>2200847</v>
      </c>
      <c r="AG101" s="56">
        <v>2223413.9999999995</v>
      </c>
    </row>
    <row r="102" spans="1:33" x14ac:dyDescent="0.3">
      <c r="A102" s="369" t="s">
        <v>340</v>
      </c>
      <c r="B102" s="370" t="s">
        <v>340</v>
      </c>
      <c r="C102" s="56">
        <v>593539.00000000012</v>
      </c>
      <c r="D102" s="56">
        <v>591284.00000000012</v>
      </c>
      <c r="E102" s="56">
        <v>588480</v>
      </c>
      <c r="F102" s="56">
        <v>585148</v>
      </c>
      <c r="G102" s="56">
        <v>581088</v>
      </c>
      <c r="H102" s="56">
        <v>576022</v>
      </c>
      <c r="I102" s="56">
        <v>565980.00000000012</v>
      </c>
      <c r="J102" s="56">
        <v>555400.00000000012</v>
      </c>
      <c r="K102" s="56">
        <v>544022.99999999988</v>
      </c>
      <c r="L102" s="56">
        <v>531605.99999999988</v>
      </c>
      <c r="M102" s="56">
        <v>518220.99999999988</v>
      </c>
      <c r="N102" s="56">
        <v>503654.99999999994</v>
      </c>
      <c r="O102" s="56">
        <v>488604.00000000006</v>
      </c>
      <c r="P102" s="56">
        <v>473497.00000000006</v>
      </c>
      <c r="Q102" s="56">
        <v>458886.99999999994</v>
      </c>
      <c r="R102" s="56">
        <v>445058</v>
      </c>
      <c r="S102" s="56">
        <v>432905.99999999994</v>
      </c>
      <c r="T102" s="56">
        <v>420951.00000000006</v>
      </c>
      <c r="U102" s="56">
        <v>410073.99999999988</v>
      </c>
      <c r="V102" s="56">
        <v>400594.00000000006</v>
      </c>
      <c r="W102" s="56">
        <v>392178.00000000006</v>
      </c>
      <c r="X102" s="56">
        <v>383145</v>
      </c>
      <c r="Y102" s="56">
        <v>375596.99999999994</v>
      </c>
      <c r="Z102" s="56">
        <v>368867</v>
      </c>
      <c r="AA102" s="56">
        <v>362099.99999999994</v>
      </c>
      <c r="AB102" s="56">
        <v>354960</v>
      </c>
      <c r="AC102" s="56">
        <v>350185.00000000006</v>
      </c>
      <c r="AD102" s="56">
        <v>344544.00000000006</v>
      </c>
      <c r="AE102" s="56">
        <v>338690.00000000006</v>
      </c>
      <c r="AF102" s="56">
        <v>333688.00000000006</v>
      </c>
      <c r="AG102" s="56">
        <v>329983.00000000006</v>
      </c>
    </row>
    <row r="103" spans="1:33" x14ac:dyDescent="0.3">
      <c r="A103" s="369" t="s">
        <v>317</v>
      </c>
      <c r="B103" s="370" t="s">
        <v>317</v>
      </c>
      <c r="C103" s="56">
        <v>1067403.0000000002</v>
      </c>
      <c r="D103" s="56">
        <v>1088492</v>
      </c>
      <c r="E103" s="56">
        <v>1120370.0000000002</v>
      </c>
      <c r="F103" s="56">
        <v>1157079</v>
      </c>
      <c r="G103" s="56">
        <v>1192033.9999999998</v>
      </c>
      <c r="H103" s="56">
        <v>1222019</v>
      </c>
      <c r="I103" s="56">
        <v>1248092.0000000002</v>
      </c>
      <c r="J103" s="56">
        <v>1264680</v>
      </c>
      <c r="K103" s="56">
        <v>1281763</v>
      </c>
      <c r="L103" s="56">
        <v>1311814</v>
      </c>
      <c r="M103" s="56">
        <v>1361811.9999999998</v>
      </c>
      <c r="N103" s="56">
        <v>1437051.9999999998</v>
      </c>
      <c r="O103" s="56">
        <v>1531904</v>
      </c>
      <c r="P103" s="56">
        <v>1632499.9999999998</v>
      </c>
      <c r="Q103" s="56">
        <v>1722528</v>
      </c>
      <c r="R103" s="56">
        <v>1792395.0000000002</v>
      </c>
      <c r="S103" s="56">
        <v>1841484.9999999998</v>
      </c>
      <c r="T103" s="56">
        <v>1868553</v>
      </c>
      <c r="U103" s="56">
        <v>1877434</v>
      </c>
      <c r="V103" s="56">
        <v>1873044</v>
      </c>
      <c r="W103" s="56">
        <v>1859380</v>
      </c>
      <c r="X103" s="56">
        <v>1836439.9999999995</v>
      </c>
      <c r="Y103" s="56">
        <v>1800960.9999999995</v>
      </c>
      <c r="Z103" s="56">
        <v>1758218</v>
      </c>
      <c r="AA103" s="56">
        <v>1714851</v>
      </c>
      <c r="AB103" s="56">
        <v>1674897</v>
      </c>
      <c r="AC103" s="56">
        <v>1639827.0000000002</v>
      </c>
      <c r="AD103" s="56">
        <v>1611253.0000000007</v>
      </c>
      <c r="AE103" s="56">
        <v>1587287</v>
      </c>
      <c r="AF103" s="56">
        <v>1564777</v>
      </c>
      <c r="AG103" s="56">
        <v>1541875.9999999998</v>
      </c>
    </row>
    <row r="104" spans="1:33" x14ac:dyDescent="0.3">
      <c r="A104" s="369" t="s">
        <v>73</v>
      </c>
      <c r="B104" s="370" t="s">
        <v>73</v>
      </c>
      <c r="C104" s="56">
        <v>518626.99999999994</v>
      </c>
      <c r="D104" s="56">
        <v>523110.99999999988</v>
      </c>
      <c r="E104" s="56">
        <v>524274</v>
      </c>
      <c r="F104" s="56">
        <v>523416.99999999994</v>
      </c>
      <c r="G104" s="56">
        <v>522252.99999999983</v>
      </c>
      <c r="H104" s="56">
        <v>521898</v>
      </c>
      <c r="I104" s="56">
        <v>520336.00000000012</v>
      </c>
      <c r="J104" s="56">
        <v>520098.99999999994</v>
      </c>
      <c r="K104" s="56">
        <v>520781.99999999994</v>
      </c>
      <c r="L104" s="56">
        <v>521807.99999999988</v>
      </c>
      <c r="M104" s="56">
        <v>522880</v>
      </c>
      <c r="N104" s="56">
        <v>524574.00000000012</v>
      </c>
      <c r="O104" s="56">
        <v>526410</v>
      </c>
      <c r="P104" s="56">
        <v>528611</v>
      </c>
      <c r="Q104" s="56">
        <v>531403</v>
      </c>
      <c r="R104" s="56">
        <v>534736.00000000023</v>
      </c>
      <c r="S104" s="56">
        <v>539306</v>
      </c>
      <c r="T104" s="56">
        <v>544776.00000000023</v>
      </c>
      <c r="U104" s="56">
        <v>550640.99999999988</v>
      </c>
      <c r="V104" s="56">
        <v>556394</v>
      </c>
      <c r="W104" s="56">
        <v>561824.99999999988</v>
      </c>
      <c r="X104" s="56">
        <v>565767</v>
      </c>
      <c r="Y104" s="56">
        <v>569721.00000000023</v>
      </c>
      <c r="Z104" s="56">
        <v>573695</v>
      </c>
      <c r="AA104" s="56">
        <v>577745</v>
      </c>
      <c r="AB104" s="56">
        <v>581889</v>
      </c>
      <c r="AC104" s="56">
        <v>586712.00000000012</v>
      </c>
      <c r="AD104" s="56">
        <v>591622.00000000012</v>
      </c>
      <c r="AE104" s="56">
        <v>596606</v>
      </c>
      <c r="AF104" s="56">
        <v>601712.00000000012</v>
      </c>
      <c r="AG104" s="56">
        <v>606937.99999999988</v>
      </c>
    </row>
    <row r="105" spans="1:33" x14ac:dyDescent="0.3">
      <c r="A105" s="369" t="s">
        <v>74</v>
      </c>
      <c r="B105" s="370" t="s">
        <v>74</v>
      </c>
      <c r="C105" s="56">
        <v>670786</v>
      </c>
      <c r="D105" s="56">
        <v>694528</v>
      </c>
      <c r="E105" s="56">
        <v>710696</v>
      </c>
      <c r="F105" s="56">
        <v>723224.99999999988</v>
      </c>
      <c r="G105" s="56">
        <v>737208.00000000047</v>
      </c>
      <c r="H105" s="56">
        <v>755916.99999999988</v>
      </c>
      <c r="I105" s="56">
        <v>780516</v>
      </c>
      <c r="J105" s="56">
        <v>810108.00000000012</v>
      </c>
      <c r="K105" s="56">
        <v>842714</v>
      </c>
      <c r="L105" s="56">
        <v>875985.99999999988</v>
      </c>
      <c r="M105" s="56">
        <v>908507.99999999965</v>
      </c>
      <c r="N105" s="56">
        <v>938487</v>
      </c>
      <c r="O105" s="56">
        <v>967678.00000000012</v>
      </c>
      <c r="P105" s="56">
        <v>996771</v>
      </c>
      <c r="Q105" s="56">
        <v>1026618.9999999997</v>
      </c>
      <c r="R105" s="56">
        <v>1057768</v>
      </c>
      <c r="S105" s="56">
        <v>1089145</v>
      </c>
      <c r="T105" s="56">
        <v>1121535.9999999998</v>
      </c>
      <c r="U105" s="56">
        <v>1154921</v>
      </c>
      <c r="V105" s="56">
        <v>1189169.9999999998</v>
      </c>
      <c r="W105" s="56">
        <v>1224127.0000000002</v>
      </c>
      <c r="X105" s="56">
        <v>1259197.9999999998</v>
      </c>
      <c r="Y105" s="56">
        <v>1295019</v>
      </c>
      <c r="Z105" s="56">
        <v>1331429</v>
      </c>
      <c r="AA105" s="56">
        <v>1368244.0000000005</v>
      </c>
      <c r="AB105" s="56">
        <v>1405317.0000000002</v>
      </c>
      <c r="AC105" s="56">
        <v>1441716</v>
      </c>
      <c r="AD105" s="56">
        <v>1478659</v>
      </c>
      <c r="AE105" s="56">
        <v>1515920</v>
      </c>
      <c r="AF105" s="56">
        <v>1553253.0000000007</v>
      </c>
      <c r="AG105" s="56">
        <v>1590552.0000000002</v>
      </c>
    </row>
    <row r="106" spans="1:33" x14ac:dyDescent="0.3">
      <c r="A106" s="369" t="s">
        <v>294</v>
      </c>
      <c r="B106" s="370" t="s">
        <v>294</v>
      </c>
      <c r="C106" s="56">
        <v>1411240.0000000002</v>
      </c>
      <c r="D106" s="56">
        <v>1457036</v>
      </c>
      <c r="E106" s="56">
        <v>1504057.0000000005</v>
      </c>
      <c r="F106" s="56">
        <v>1551350</v>
      </c>
      <c r="G106" s="56">
        <v>1597422.0000000005</v>
      </c>
      <c r="H106" s="56">
        <v>1641311</v>
      </c>
      <c r="I106" s="56">
        <v>1680158.0000000007</v>
      </c>
      <c r="J106" s="56">
        <v>1716471.0000000005</v>
      </c>
      <c r="K106" s="56">
        <v>1749348.9999999998</v>
      </c>
      <c r="L106" s="56">
        <v>1778017</v>
      </c>
      <c r="M106" s="56">
        <v>1802007.0000000002</v>
      </c>
      <c r="N106" s="56">
        <v>1813422.9999999998</v>
      </c>
      <c r="O106" s="56">
        <v>1820241.0000000002</v>
      </c>
      <c r="P106" s="56">
        <v>1824355.9999999995</v>
      </c>
      <c r="Q106" s="56">
        <v>1828264.0000000005</v>
      </c>
      <c r="R106" s="56">
        <v>1833911.9999999998</v>
      </c>
      <c r="S106" s="56">
        <v>1846890.9999999993</v>
      </c>
      <c r="T106" s="56">
        <v>1862502.9999999995</v>
      </c>
      <c r="U106" s="56">
        <v>1879333</v>
      </c>
      <c r="V106" s="56">
        <v>1895507.0000000002</v>
      </c>
      <c r="W106" s="56">
        <v>1909780.0000000007</v>
      </c>
      <c r="X106" s="56">
        <v>1924120.9999999998</v>
      </c>
      <c r="Y106" s="56">
        <v>1935801.9999999998</v>
      </c>
      <c r="Z106" s="56">
        <v>1945733.9999999998</v>
      </c>
      <c r="AA106" s="56">
        <v>1955061.9999999998</v>
      </c>
      <c r="AB106" s="56">
        <v>1964258.9999999995</v>
      </c>
      <c r="AC106" s="56">
        <v>1972377</v>
      </c>
      <c r="AD106" s="56">
        <v>1980445</v>
      </c>
      <c r="AE106" s="56">
        <v>1988025.9999999998</v>
      </c>
      <c r="AF106" s="56">
        <v>1994379.0000000002</v>
      </c>
      <c r="AG106" s="56">
        <v>1999121.9999999998</v>
      </c>
    </row>
    <row r="107" spans="1:33" x14ac:dyDescent="0.3">
      <c r="A107" s="369" t="s">
        <v>341</v>
      </c>
      <c r="B107" s="370" t="s">
        <v>341</v>
      </c>
      <c r="C107" s="56">
        <v>883896.99999999988</v>
      </c>
      <c r="D107" s="56">
        <v>880940.99999999965</v>
      </c>
      <c r="E107" s="56">
        <v>877334</v>
      </c>
      <c r="F107" s="56">
        <v>872642.99999999988</v>
      </c>
      <c r="G107" s="56">
        <v>866137.99999999988</v>
      </c>
      <c r="H107" s="56">
        <v>857295.99999999977</v>
      </c>
      <c r="I107" s="56">
        <v>845708.99999999988</v>
      </c>
      <c r="J107" s="56">
        <v>832140.00000000012</v>
      </c>
      <c r="K107" s="56">
        <v>816846</v>
      </c>
      <c r="L107" s="56">
        <v>800044</v>
      </c>
      <c r="M107" s="56">
        <v>781922.00000000012</v>
      </c>
      <c r="N107" s="56">
        <v>760359</v>
      </c>
      <c r="O107" s="56">
        <v>738116</v>
      </c>
      <c r="P107" s="56">
        <v>715552.99999999988</v>
      </c>
      <c r="Q107" s="56">
        <v>693039</v>
      </c>
      <c r="R107" s="56">
        <v>670638.00000000012</v>
      </c>
      <c r="S107" s="56">
        <v>646015</v>
      </c>
      <c r="T107" s="56">
        <v>621882</v>
      </c>
      <c r="U107" s="56">
        <v>598999</v>
      </c>
      <c r="V107" s="56">
        <v>577161.99999999988</v>
      </c>
      <c r="W107" s="56">
        <v>555729.00000000012</v>
      </c>
      <c r="X107" s="56">
        <v>540095.99999999977</v>
      </c>
      <c r="Y107" s="56">
        <v>523909</v>
      </c>
      <c r="Z107" s="56">
        <v>508231.00000000017</v>
      </c>
      <c r="AA107" s="56">
        <v>494458</v>
      </c>
      <c r="AB107" s="56">
        <v>483211.99999999988</v>
      </c>
      <c r="AC107" s="56">
        <v>476222</v>
      </c>
      <c r="AD107" s="56">
        <v>471659</v>
      </c>
      <c r="AE107" s="56">
        <v>468870.99999999994</v>
      </c>
      <c r="AF107" s="56">
        <v>466753.99999999994</v>
      </c>
      <c r="AG107" s="56">
        <v>464580.00000000006</v>
      </c>
    </row>
    <row r="108" spans="1:33" x14ac:dyDescent="0.3">
      <c r="A108" s="369" t="s">
        <v>361</v>
      </c>
      <c r="B108" s="370" t="s">
        <v>361</v>
      </c>
      <c r="C108" s="56">
        <v>109003.00000000001</v>
      </c>
      <c r="D108" s="56">
        <v>109798.99999999997</v>
      </c>
      <c r="E108" s="56">
        <v>110487.99999999997</v>
      </c>
      <c r="F108" s="56">
        <v>111207.99999999999</v>
      </c>
      <c r="G108" s="56">
        <v>112120</v>
      </c>
      <c r="H108" s="56">
        <v>113313</v>
      </c>
      <c r="I108" s="56">
        <v>115669.99999999999</v>
      </c>
      <c r="J108" s="56">
        <v>118299.00000000001</v>
      </c>
      <c r="K108" s="56">
        <v>121092</v>
      </c>
      <c r="L108" s="56">
        <v>123889.00000000003</v>
      </c>
      <c r="M108" s="56">
        <v>126582</v>
      </c>
      <c r="N108" s="56">
        <v>129433.99999999997</v>
      </c>
      <c r="O108" s="56">
        <v>132247.00000000003</v>
      </c>
      <c r="P108" s="56">
        <v>135016.00000000003</v>
      </c>
      <c r="Q108" s="56">
        <v>137742</v>
      </c>
      <c r="R108" s="56">
        <v>140402.00000000003</v>
      </c>
      <c r="S108" s="56">
        <v>142980</v>
      </c>
      <c r="T108" s="56">
        <v>145559.99999999997</v>
      </c>
      <c r="U108" s="56">
        <v>148044</v>
      </c>
      <c r="V108" s="56">
        <v>150305.00000000003</v>
      </c>
      <c r="W108" s="56">
        <v>152255.99999999997</v>
      </c>
      <c r="X108" s="56">
        <v>153081</v>
      </c>
      <c r="Y108" s="56">
        <v>153696.99999999997</v>
      </c>
      <c r="Z108" s="56">
        <v>154197</v>
      </c>
      <c r="AA108" s="56">
        <v>154712</v>
      </c>
      <c r="AB108" s="56">
        <v>155318</v>
      </c>
      <c r="AC108" s="56">
        <v>155720</v>
      </c>
      <c r="AD108" s="56">
        <v>156257.00000000003</v>
      </c>
      <c r="AE108" s="56">
        <v>156859</v>
      </c>
      <c r="AF108" s="56">
        <v>157406.00000000003</v>
      </c>
      <c r="AG108" s="56">
        <v>157813.99999999997</v>
      </c>
    </row>
    <row r="109" spans="1:33" x14ac:dyDescent="0.3">
      <c r="A109" s="369" t="s">
        <v>75</v>
      </c>
      <c r="B109" s="370" t="s">
        <v>75</v>
      </c>
      <c r="C109" s="56">
        <v>3642678.9999999995</v>
      </c>
      <c r="D109" s="56">
        <v>3754365.0000000005</v>
      </c>
      <c r="E109" s="56">
        <v>3871290.0000000009</v>
      </c>
      <c r="F109" s="56">
        <v>3993079.0000000005</v>
      </c>
      <c r="G109" s="56">
        <v>4119505.9999999995</v>
      </c>
      <c r="H109" s="56">
        <v>4250829</v>
      </c>
      <c r="I109" s="56">
        <v>4386961</v>
      </c>
      <c r="J109" s="56">
        <v>4526929.9999999991</v>
      </c>
      <c r="K109" s="56">
        <v>4672135</v>
      </c>
      <c r="L109" s="56">
        <v>4824654</v>
      </c>
      <c r="M109" s="56">
        <v>4985346</v>
      </c>
      <c r="N109" s="56">
        <v>5150147</v>
      </c>
      <c r="O109" s="56">
        <v>5323808.0000000028</v>
      </c>
      <c r="P109" s="56">
        <v>5504639.0000000009</v>
      </c>
      <c r="Q109" s="56">
        <v>5689548</v>
      </c>
      <c r="R109" s="56">
        <v>5876585</v>
      </c>
      <c r="S109" s="56">
        <v>6066788</v>
      </c>
      <c r="T109" s="56">
        <v>6258230.0000000009</v>
      </c>
      <c r="U109" s="56">
        <v>6451464.9999999981</v>
      </c>
      <c r="V109" s="56">
        <v>6647864</v>
      </c>
      <c r="W109" s="56">
        <v>6847861.9999999991</v>
      </c>
      <c r="X109" s="56">
        <v>7046518.9999999981</v>
      </c>
      <c r="Y109" s="56">
        <v>7250173.9999999991</v>
      </c>
      <c r="Z109" s="56">
        <v>7457169.9999999991</v>
      </c>
      <c r="AA109" s="56">
        <v>7665310</v>
      </c>
      <c r="AB109" s="56">
        <v>7873648</v>
      </c>
      <c r="AC109" s="56">
        <v>8083623.0000000009</v>
      </c>
      <c r="AD109" s="56">
        <v>8294383.0000000037</v>
      </c>
      <c r="AE109" s="56">
        <v>8507035.0000000019</v>
      </c>
      <c r="AF109" s="56">
        <v>8723753</v>
      </c>
      <c r="AG109" s="56">
        <v>8945784</v>
      </c>
    </row>
    <row r="110" spans="1:33" x14ac:dyDescent="0.3">
      <c r="A110" s="369" t="s">
        <v>37</v>
      </c>
      <c r="B110" s="370" t="s">
        <v>37</v>
      </c>
      <c r="C110" s="56">
        <v>2490474.9999999995</v>
      </c>
      <c r="D110" s="56">
        <v>2553243</v>
      </c>
      <c r="E110" s="56">
        <v>2623022.9999999991</v>
      </c>
      <c r="F110" s="56">
        <v>2699234</v>
      </c>
      <c r="G110" s="56">
        <v>2780348.0000000005</v>
      </c>
      <c r="H110" s="56">
        <v>2865663.9999999995</v>
      </c>
      <c r="I110" s="56">
        <v>2953549.9999999991</v>
      </c>
      <c r="J110" s="56">
        <v>3045245</v>
      </c>
      <c r="K110" s="56">
        <v>3141334.0000000009</v>
      </c>
      <c r="L110" s="56">
        <v>3243623</v>
      </c>
      <c r="M110" s="56">
        <v>3353186.9999999995</v>
      </c>
      <c r="N110" s="56">
        <v>3462901</v>
      </c>
      <c r="O110" s="56">
        <v>3582528.0000000014</v>
      </c>
      <c r="P110" s="56">
        <v>3709684.0000000009</v>
      </c>
      <c r="Q110" s="56">
        <v>3840947.9999999991</v>
      </c>
      <c r="R110" s="56">
        <v>3974781.9999999995</v>
      </c>
      <c r="S110" s="56">
        <v>4114367</v>
      </c>
      <c r="T110" s="56">
        <v>4254464.0000000009</v>
      </c>
      <c r="U110" s="56">
        <v>4397848</v>
      </c>
      <c r="V110" s="56">
        <v>4548340</v>
      </c>
      <c r="W110" s="56">
        <v>4707376.0000000019</v>
      </c>
      <c r="X110" s="56">
        <v>4873531</v>
      </c>
      <c r="Y110" s="56">
        <v>5046050.0000000019</v>
      </c>
      <c r="Z110" s="56">
        <v>5223440.9999999981</v>
      </c>
      <c r="AA110" s="56">
        <v>5402965.0000000009</v>
      </c>
      <c r="AB110" s="56">
        <v>5582646.0000000028</v>
      </c>
      <c r="AC110" s="56">
        <v>5756077.9999999991</v>
      </c>
      <c r="AD110" s="56">
        <v>5932010.9999999991</v>
      </c>
      <c r="AE110" s="56">
        <v>6108767</v>
      </c>
      <c r="AF110" s="56">
        <v>6284942.0000000009</v>
      </c>
      <c r="AG110" s="56">
        <v>6460166.0000000019</v>
      </c>
    </row>
    <row r="111" spans="1:33" x14ac:dyDescent="0.3">
      <c r="A111" s="369" t="s">
        <v>310</v>
      </c>
      <c r="B111" s="370" t="s">
        <v>310</v>
      </c>
      <c r="C111" s="56">
        <v>6112808</v>
      </c>
      <c r="D111" s="56">
        <v>6245386</v>
      </c>
      <c r="E111" s="56">
        <v>6383856.0000000009</v>
      </c>
      <c r="F111" s="56">
        <v>6526724</v>
      </c>
      <c r="G111" s="56">
        <v>6672110.0000000019</v>
      </c>
      <c r="H111" s="56">
        <v>6818824.0000000009</v>
      </c>
      <c r="I111" s="56">
        <v>6955957</v>
      </c>
      <c r="J111" s="56">
        <v>7096430.0000000009</v>
      </c>
      <c r="K111" s="56">
        <v>7240641.0000000009</v>
      </c>
      <c r="L111" s="56">
        <v>7389625.9999999981</v>
      </c>
      <c r="M111" s="56">
        <v>7542685.0000000019</v>
      </c>
      <c r="N111" s="56">
        <v>7693805</v>
      </c>
      <c r="O111" s="56">
        <v>7835419.0000000009</v>
      </c>
      <c r="P111" s="56">
        <v>7969661.9999999991</v>
      </c>
      <c r="Q111" s="56">
        <v>8097825.0000000019</v>
      </c>
      <c r="R111" s="56">
        <v>8219786</v>
      </c>
      <c r="S111" s="56">
        <v>8328995.0000000009</v>
      </c>
      <c r="T111" s="56">
        <v>8435194.0000000019</v>
      </c>
      <c r="U111" s="56">
        <v>8535616</v>
      </c>
      <c r="V111" s="56">
        <v>8627236</v>
      </c>
      <c r="W111" s="56">
        <v>8708993</v>
      </c>
      <c r="X111" s="56">
        <v>8783977.0000000019</v>
      </c>
      <c r="Y111" s="56">
        <v>8850690.0000000019</v>
      </c>
      <c r="Z111" s="56">
        <v>8911176.9999999981</v>
      </c>
      <c r="AA111" s="56">
        <v>8969658</v>
      </c>
      <c r="AB111" s="56">
        <v>9028523.9999999981</v>
      </c>
      <c r="AC111" s="56">
        <v>9092644.9999999981</v>
      </c>
      <c r="AD111" s="56">
        <v>9156976.9999999981</v>
      </c>
      <c r="AE111" s="56">
        <v>9218072.0000000037</v>
      </c>
      <c r="AF111" s="56">
        <v>9269975.9999999981</v>
      </c>
      <c r="AG111" s="56">
        <v>9308683</v>
      </c>
    </row>
    <row r="112" spans="1:33" x14ac:dyDescent="0.3">
      <c r="A112" s="370" t="s">
        <v>198</v>
      </c>
      <c r="B112" s="370" t="s">
        <v>198</v>
      </c>
      <c r="C112" s="56">
        <v>69279.000000000015</v>
      </c>
      <c r="D112" s="56">
        <v>72941</v>
      </c>
      <c r="E112" s="56">
        <v>76750.999999999985</v>
      </c>
      <c r="F112" s="56">
        <v>80618</v>
      </c>
      <c r="G112" s="56">
        <v>84359.000000000015</v>
      </c>
      <c r="H112" s="56">
        <v>87850.000000000015</v>
      </c>
      <c r="I112" s="56">
        <v>91134.999999999985</v>
      </c>
      <c r="J112" s="56">
        <v>94061.999999999985</v>
      </c>
      <c r="K112" s="56">
        <v>96686.999999999985</v>
      </c>
      <c r="L112" s="56">
        <v>99117</v>
      </c>
      <c r="M112" s="56">
        <v>101412.00000000001</v>
      </c>
      <c r="N112" s="56">
        <v>103342.99999999999</v>
      </c>
      <c r="O112" s="56">
        <v>105284</v>
      </c>
      <c r="P112" s="56">
        <v>107080.00000000003</v>
      </c>
      <c r="Q112" s="56">
        <v>108572</v>
      </c>
      <c r="R112" s="56">
        <v>109715.00000000003</v>
      </c>
      <c r="S112" s="56">
        <v>110753.00000000003</v>
      </c>
      <c r="T112" s="56">
        <v>111507.99999999999</v>
      </c>
      <c r="U112" s="56">
        <v>112125.99999999999</v>
      </c>
      <c r="V112" s="56">
        <v>112830.99999999999</v>
      </c>
      <c r="W112" s="56">
        <v>113752.99999999997</v>
      </c>
      <c r="X112" s="56">
        <v>114701.99999999999</v>
      </c>
      <c r="Y112" s="56">
        <v>115789.99999999997</v>
      </c>
      <c r="Z112" s="56">
        <v>116991</v>
      </c>
      <c r="AA112" s="56">
        <v>118234.99999999999</v>
      </c>
      <c r="AB112" s="56">
        <v>119466.00000000001</v>
      </c>
      <c r="AC112" s="56">
        <v>120663.99999999999</v>
      </c>
      <c r="AD112" s="56">
        <v>121860.99999999999</v>
      </c>
      <c r="AE112" s="56">
        <v>122954</v>
      </c>
      <c r="AF112" s="56">
        <v>123790</v>
      </c>
      <c r="AG112" s="56">
        <v>124288</v>
      </c>
    </row>
    <row r="113" spans="1:33" x14ac:dyDescent="0.3">
      <c r="A113" s="369" t="s">
        <v>76</v>
      </c>
      <c r="B113" s="370" t="s">
        <v>76</v>
      </c>
      <c r="C113" s="56">
        <v>2431469.9999999995</v>
      </c>
      <c r="D113" s="56">
        <v>2504053.9999999991</v>
      </c>
      <c r="E113" s="56">
        <v>2580384.0000000005</v>
      </c>
      <c r="F113" s="56">
        <v>2660944.0000000005</v>
      </c>
      <c r="G113" s="56">
        <v>2746897.0000000009</v>
      </c>
      <c r="H113" s="56">
        <v>2838715.0000000014</v>
      </c>
      <c r="I113" s="56">
        <v>2924509.0000000005</v>
      </c>
      <c r="J113" s="56">
        <v>3017696.0000000005</v>
      </c>
      <c r="K113" s="56">
        <v>3116388.9999999981</v>
      </c>
      <c r="L113" s="56">
        <v>3218528</v>
      </c>
      <c r="M113" s="56">
        <v>3323188.0000000005</v>
      </c>
      <c r="N113" s="56">
        <v>3415353.0000000005</v>
      </c>
      <c r="O113" s="56">
        <v>3512551</v>
      </c>
      <c r="P113" s="56">
        <v>3615294</v>
      </c>
      <c r="Q113" s="56">
        <v>3724421.0000000005</v>
      </c>
      <c r="R113" s="56">
        <v>3840865.9999999995</v>
      </c>
      <c r="S113" s="56">
        <v>3965956.9999999995</v>
      </c>
      <c r="T113" s="56">
        <v>4098022</v>
      </c>
      <c r="U113" s="56">
        <v>4237635.9999999991</v>
      </c>
      <c r="V113" s="56">
        <v>4385364.0000000009</v>
      </c>
      <c r="W113" s="56">
        <v>4541065.9999999981</v>
      </c>
      <c r="X113" s="56">
        <v>4698212.9999999991</v>
      </c>
      <c r="Y113" s="56">
        <v>4863595</v>
      </c>
      <c r="Z113" s="56">
        <v>5036338</v>
      </c>
      <c r="AA113" s="56">
        <v>5214747</v>
      </c>
      <c r="AB113" s="56">
        <v>5397696.9999999981</v>
      </c>
      <c r="AC113" s="56">
        <v>5579723</v>
      </c>
      <c r="AD113" s="56">
        <v>5767000</v>
      </c>
      <c r="AE113" s="56">
        <v>5959250.0000000019</v>
      </c>
      <c r="AF113" s="56">
        <v>6156493</v>
      </c>
      <c r="AG113" s="56">
        <v>6358724.9999999981</v>
      </c>
    </row>
    <row r="114" spans="1:33" x14ac:dyDescent="0.3">
      <c r="A114" s="369" t="s">
        <v>350</v>
      </c>
      <c r="B114" s="370" t="s">
        <v>350</v>
      </c>
      <c r="C114" s="56">
        <v>96553.999999999985</v>
      </c>
      <c r="D114" s="56">
        <v>96543</v>
      </c>
      <c r="E114" s="56">
        <v>96671.999999999971</v>
      </c>
      <c r="F114" s="56">
        <v>96867.999999999985</v>
      </c>
      <c r="G114" s="56">
        <v>96994.999999999985</v>
      </c>
      <c r="H114" s="56">
        <v>96963.000000000015</v>
      </c>
      <c r="I114" s="56">
        <v>96984</v>
      </c>
      <c r="J114" s="56">
        <v>96814</v>
      </c>
      <c r="K114" s="56">
        <v>96512.999999999985</v>
      </c>
      <c r="L114" s="56">
        <v>96206.000000000029</v>
      </c>
      <c r="M114" s="56">
        <v>95998.000000000015</v>
      </c>
      <c r="N114" s="56">
        <v>96254.999999999971</v>
      </c>
      <c r="O114" s="56">
        <v>96669.000000000029</v>
      </c>
      <c r="P114" s="56">
        <v>97122.000000000015</v>
      </c>
      <c r="Q114" s="56">
        <v>97486</v>
      </c>
      <c r="R114" s="56">
        <v>97704.999999999985</v>
      </c>
      <c r="S114" s="56">
        <v>97709.999999999985</v>
      </c>
      <c r="T114" s="56">
        <v>97635</v>
      </c>
      <c r="U114" s="56">
        <v>97467.000000000015</v>
      </c>
      <c r="V114" s="56">
        <v>97214</v>
      </c>
      <c r="W114" s="56">
        <v>96875</v>
      </c>
      <c r="X114" s="56">
        <v>96541</v>
      </c>
      <c r="Y114" s="56">
        <v>96123.000000000015</v>
      </c>
      <c r="Z114" s="56">
        <v>95628.999999999971</v>
      </c>
      <c r="AA114" s="56">
        <v>95068.999999999971</v>
      </c>
      <c r="AB114" s="56">
        <v>94448.000000000015</v>
      </c>
      <c r="AC114" s="56">
        <v>93801.999999999985</v>
      </c>
      <c r="AD114" s="56">
        <v>93111</v>
      </c>
      <c r="AE114" s="56">
        <v>92380.000000000015</v>
      </c>
      <c r="AF114" s="56">
        <v>91600</v>
      </c>
      <c r="AG114" s="56">
        <v>90765.999999999985</v>
      </c>
    </row>
    <row r="115" spans="1:33" x14ac:dyDescent="0.3">
      <c r="A115" s="369" t="s">
        <v>373</v>
      </c>
      <c r="B115" s="370" t="s">
        <v>373</v>
      </c>
      <c r="C115" s="56">
        <v>104878.99999999999</v>
      </c>
      <c r="D115" s="56">
        <v>104869.99999999996</v>
      </c>
      <c r="E115" s="56">
        <v>104974</v>
      </c>
      <c r="F115" s="56">
        <v>105127</v>
      </c>
      <c r="G115" s="56">
        <v>105134.00000000001</v>
      </c>
      <c r="H115" s="56">
        <v>104831</v>
      </c>
      <c r="I115" s="56">
        <v>104609.00000000001</v>
      </c>
      <c r="J115" s="56">
        <v>104050.00000000004</v>
      </c>
      <c r="K115" s="56">
        <v>103125.00000000001</v>
      </c>
      <c r="L115" s="56">
        <v>101792.99999999999</v>
      </c>
      <c r="M115" s="56">
        <v>100019.00000000001</v>
      </c>
      <c r="N115" s="56">
        <v>97218</v>
      </c>
      <c r="O115" s="56">
        <v>93907.999999999985</v>
      </c>
      <c r="P115" s="56">
        <v>90442</v>
      </c>
      <c r="Q115" s="56">
        <v>87088.999999999971</v>
      </c>
      <c r="R115" s="56">
        <v>83933</v>
      </c>
      <c r="S115" s="56">
        <v>82410</v>
      </c>
      <c r="T115" s="56">
        <v>81002</v>
      </c>
      <c r="U115" s="56">
        <v>79707.000000000015</v>
      </c>
      <c r="V115" s="56">
        <v>78511</v>
      </c>
      <c r="W115" s="56">
        <v>77375</v>
      </c>
      <c r="X115" s="56">
        <v>76246</v>
      </c>
      <c r="Y115" s="56">
        <v>75270.000000000029</v>
      </c>
      <c r="Z115" s="56">
        <v>74382</v>
      </c>
      <c r="AA115" s="56">
        <v>73500.000000000015</v>
      </c>
      <c r="AB115" s="56">
        <v>72591.999999999985</v>
      </c>
      <c r="AC115" s="56">
        <v>71920</v>
      </c>
      <c r="AD115" s="56">
        <v>71194</v>
      </c>
      <c r="AE115" s="56">
        <v>70461</v>
      </c>
      <c r="AF115" s="56">
        <v>69790</v>
      </c>
      <c r="AG115" s="56">
        <v>69201.999999999971</v>
      </c>
    </row>
    <row r="116" spans="1:33" x14ac:dyDescent="0.3">
      <c r="A116" s="369" t="s">
        <v>77</v>
      </c>
      <c r="B116" s="370" t="s">
        <v>77</v>
      </c>
      <c r="C116" s="56">
        <v>616525</v>
      </c>
      <c r="D116" s="56">
        <v>636061.00000000012</v>
      </c>
      <c r="E116" s="56">
        <v>657109.00000000023</v>
      </c>
      <c r="F116" s="56">
        <v>679300.00000000023</v>
      </c>
      <c r="G116" s="56">
        <v>702107.99999999988</v>
      </c>
      <c r="H116" s="56">
        <v>725213.99999999988</v>
      </c>
      <c r="I116" s="56">
        <v>748530.00000000023</v>
      </c>
      <c r="J116" s="56">
        <v>772352.99999999988</v>
      </c>
      <c r="K116" s="56">
        <v>796700.99999999977</v>
      </c>
      <c r="L116" s="56">
        <v>821727.00000000035</v>
      </c>
      <c r="M116" s="56">
        <v>847503</v>
      </c>
      <c r="N116" s="56">
        <v>873739</v>
      </c>
      <c r="O116" s="56">
        <v>900782</v>
      </c>
      <c r="P116" s="56">
        <v>928539.99999999977</v>
      </c>
      <c r="Q116" s="56">
        <v>956990.99999999988</v>
      </c>
      <c r="R116" s="56">
        <v>986116.00000000012</v>
      </c>
      <c r="S116" s="56">
        <v>1014711.0000000001</v>
      </c>
      <c r="T116" s="56">
        <v>1044437.0000000001</v>
      </c>
      <c r="U116" s="56">
        <v>1075036</v>
      </c>
      <c r="V116" s="56">
        <v>1106209.9999999995</v>
      </c>
      <c r="W116" s="56">
        <v>1137851.0000000005</v>
      </c>
      <c r="X116" s="56">
        <v>1169798.9999999998</v>
      </c>
      <c r="Y116" s="56">
        <v>1202155.9999999998</v>
      </c>
      <c r="Z116" s="56">
        <v>1235088.0000000002</v>
      </c>
      <c r="AA116" s="56">
        <v>1268867.0000000002</v>
      </c>
      <c r="AB116" s="56">
        <v>1303591.0000000002</v>
      </c>
      <c r="AC116" s="56">
        <v>1338249.0000000005</v>
      </c>
      <c r="AD116" s="56">
        <v>1373927.0000000005</v>
      </c>
      <c r="AE116" s="56">
        <v>1410394.9999999998</v>
      </c>
      <c r="AF116" s="56">
        <v>1447278.0000000002</v>
      </c>
      <c r="AG116" s="56">
        <v>1484343</v>
      </c>
    </row>
    <row r="117" spans="1:33" x14ac:dyDescent="0.3">
      <c r="A117" s="369" t="s">
        <v>287</v>
      </c>
      <c r="B117" s="370" t="s">
        <v>287</v>
      </c>
      <c r="C117" s="56">
        <v>336556.99999999994</v>
      </c>
      <c r="D117" s="56">
        <v>337723.99999999994</v>
      </c>
      <c r="E117" s="56">
        <v>337183.00000000006</v>
      </c>
      <c r="F117" s="56">
        <v>335726.00000000012</v>
      </c>
      <c r="G117" s="56">
        <v>334489</v>
      </c>
      <c r="H117" s="56">
        <v>333999</v>
      </c>
      <c r="I117" s="56">
        <v>333263.99999999994</v>
      </c>
      <c r="J117" s="56">
        <v>333395</v>
      </c>
      <c r="K117" s="56">
        <v>333816.00000000006</v>
      </c>
      <c r="L117" s="56">
        <v>333617.99999999994</v>
      </c>
      <c r="M117" s="56">
        <v>332395</v>
      </c>
      <c r="N117" s="56">
        <v>330962.00000000006</v>
      </c>
      <c r="O117" s="56">
        <v>328510</v>
      </c>
      <c r="P117" s="56">
        <v>325459</v>
      </c>
      <c r="Q117" s="56">
        <v>322585.00000000006</v>
      </c>
      <c r="R117" s="56">
        <v>320345</v>
      </c>
      <c r="S117" s="56">
        <v>319979.00000000006</v>
      </c>
      <c r="T117" s="56">
        <v>320215.99999999988</v>
      </c>
      <c r="U117" s="56">
        <v>320839</v>
      </c>
      <c r="V117" s="56">
        <v>321422</v>
      </c>
      <c r="W117" s="56">
        <v>321703.99999999994</v>
      </c>
      <c r="X117" s="56">
        <v>321815.99999999994</v>
      </c>
      <c r="Y117" s="56">
        <v>321803</v>
      </c>
      <c r="Z117" s="56">
        <v>321412.00000000006</v>
      </c>
      <c r="AA117" s="56">
        <v>320359.99999999994</v>
      </c>
      <c r="AB117" s="56">
        <v>318489</v>
      </c>
      <c r="AC117" s="56">
        <v>316089.00000000006</v>
      </c>
      <c r="AD117" s="56">
        <v>312869.99999999994</v>
      </c>
      <c r="AE117" s="56">
        <v>309149</v>
      </c>
      <c r="AF117" s="56">
        <v>305453.99999999994</v>
      </c>
      <c r="AG117" s="56">
        <v>302106</v>
      </c>
    </row>
    <row r="118" spans="1:33" x14ac:dyDescent="0.3">
      <c r="A118" s="369" t="s">
        <v>288</v>
      </c>
      <c r="B118" s="370" t="s">
        <v>288</v>
      </c>
      <c r="C118" s="56">
        <v>34997</v>
      </c>
      <c r="D118" s="56">
        <v>36775.999999999993</v>
      </c>
      <c r="E118" s="56">
        <v>38730.000000000015</v>
      </c>
      <c r="F118" s="56">
        <v>40779</v>
      </c>
      <c r="G118" s="56">
        <v>42795.000000000007</v>
      </c>
      <c r="H118" s="56">
        <v>44686.999999999993</v>
      </c>
      <c r="I118" s="56">
        <v>46304.000000000007</v>
      </c>
      <c r="J118" s="56">
        <v>47780.999999999993</v>
      </c>
      <c r="K118" s="56">
        <v>49158.000000000007</v>
      </c>
      <c r="L118" s="56">
        <v>50549.000000000007</v>
      </c>
      <c r="M118" s="56">
        <v>52010.999999999978</v>
      </c>
      <c r="N118" s="56">
        <v>53341.999999999993</v>
      </c>
      <c r="O118" s="56">
        <v>54780</v>
      </c>
      <c r="P118" s="56">
        <v>56333.000000000007</v>
      </c>
      <c r="Q118" s="56">
        <v>57927.000000000007</v>
      </c>
      <c r="R118" s="56">
        <v>59537.999999999993</v>
      </c>
      <c r="S118" s="56">
        <v>61454.000000000007</v>
      </c>
      <c r="T118" s="56">
        <v>63328.999999999985</v>
      </c>
      <c r="U118" s="56">
        <v>65218</v>
      </c>
      <c r="V118" s="56">
        <v>67190.000000000029</v>
      </c>
      <c r="W118" s="56">
        <v>69273</v>
      </c>
      <c r="X118" s="56">
        <v>71394</v>
      </c>
      <c r="Y118" s="56">
        <v>73603.999999999985</v>
      </c>
      <c r="Z118" s="56">
        <v>75864.999999999985</v>
      </c>
      <c r="AA118" s="56">
        <v>78073.000000000015</v>
      </c>
      <c r="AB118" s="56">
        <v>80186</v>
      </c>
      <c r="AC118" s="56">
        <v>82216.999999999985</v>
      </c>
      <c r="AD118" s="56">
        <v>84162.999999999985</v>
      </c>
      <c r="AE118" s="56">
        <v>86037</v>
      </c>
      <c r="AF118" s="56">
        <v>87864.999999999985</v>
      </c>
      <c r="AG118" s="56">
        <v>89661.000000000015</v>
      </c>
    </row>
    <row r="119" spans="1:33" x14ac:dyDescent="0.3">
      <c r="A119" s="369" t="s">
        <v>381</v>
      </c>
      <c r="B119" s="370" t="s">
        <v>381</v>
      </c>
      <c r="C119" s="56">
        <v>26563177.000000004</v>
      </c>
      <c r="D119" s="56">
        <v>27082117.999999996</v>
      </c>
      <c r="E119" s="56">
        <v>27574177</v>
      </c>
      <c r="F119" s="56">
        <v>28046675.999999996</v>
      </c>
      <c r="G119" s="56">
        <v>28509831</v>
      </c>
      <c r="H119" s="56">
        <v>28970049.000000004</v>
      </c>
      <c r="I119" s="56">
        <v>29450135</v>
      </c>
      <c r="J119" s="56">
        <v>29948664.999999993</v>
      </c>
      <c r="K119" s="56">
        <v>30452848.999999996</v>
      </c>
      <c r="L119" s="56">
        <v>30940882.999999993</v>
      </c>
      <c r="M119" s="56">
        <v>31398019.000000004</v>
      </c>
      <c r="N119" s="56">
        <v>31858200.000000004</v>
      </c>
      <c r="O119" s="56">
        <v>32278300</v>
      </c>
      <c r="P119" s="56">
        <v>32664245</v>
      </c>
      <c r="Q119" s="56">
        <v>33029009.999999996</v>
      </c>
      <c r="R119" s="56">
        <v>33378761</v>
      </c>
      <c r="S119" s="56">
        <v>33715487.999999993</v>
      </c>
      <c r="T119" s="56">
        <v>34044811</v>
      </c>
      <c r="U119" s="56">
        <v>34357424.000000007</v>
      </c>
      <c r="V119" s="56">
        <v>34639117.000000007</v>
      </c>
      <c r="W119" s="56">
        <v>34883962.000000007</v>
      </c>
      <c r="X119" s="56">
        <v>35121931</v>
      </c>
      <c r="Y119" s="56">
        <v>35322941</v>
      </c>
      <c r="Z119" s="56">
        <v>35496809.000000007</v>
      </c>
      <c r="AA119" s="56">
        <v>35659544</v>
      </c>
      <c r="AB119" s="56">
        <v>35819507.999999993</v>
      </c>
      <c r="AC119" s="56">
        <v>35986039.999999993</v>
      </c>
      <c r="AD119" s="56">
        <v>36150736.000000015</v>
      </c>
      <c r="AE119" s="56">
        <v>36309346.000000007</v>
      </c>
      <c r="AF119" s="56">
        <v>36453557.999999993</v>
      </c>
      <c r="AG119" s="56">
        <v>36578320.999999993</v>
      </c>
    </row>
    <row r="120" spans="1:33" x14ac:dyDescent="0.3">
      <c r="A120" s="369" t="s">
        <v>403</v>
      </c>
      <c r="B120" s="370" t="s">
        <v>403</v>
      </c>
      <c r="C120" s="56">
        <v>26543.999999999996</v>
      </c>
      <c r="D120" s="56">
        <v>26399.000000000004</v>
      </c>
      <c r="E120" s="56">
        <v>26247</v>
      </c>
      <c r="F120" s="56">
        <v>26082</v>
      </c>
      <c r="G120" s="56">
        <v>25879</v>
      </c>
      <c r="H120" s="56">
        <v>25668.000000000004</v>
      </c>
      <c r="I120" s="56">
        <v>25730.999999999996</v>
      </c>
      <c r="J120" s="56">
        <v>25690.999999999996</v>
      </c>
      <c r="K120" s="56">
        <v>25617.999999999996</v>
      </c>
      <c r="L120" s="56">
        <v>25588</v>
      </c>
      <c r="M120" s="56">
        <v>25653.000000000011</v>
      </c>
      <c r="N120" s="56">
        <v>25902.000000000007</v>
      </c>
      <c r="O120" s="56">
        <v>26320.999999999993</v>
      </c>
      <c r="P120" s="56">
        <v>26840.999999999996</v>
      </c>
      <c r="Q120" s="56">
        <v>27349.000000000004</v>
      </c>
      <c r="R120" s="56">
        <v>27777</v>
      </c>
      <c r="S120" s="56">
        <v>28188.000000000007</v>
      </c>
      <c r="T120" s="56">
        <v>28503.999999999996</v>
      </c>
      <c r="U120" s="56">
        <v>28755.000000000004</v>
      </c>
      <c r="V120" s="56">
        <v>29007.000000000004</v>
      </c>
      <c r="W120" s="56">
        <v>29291.999999999993</v>
      </c>
      <c r="X120" s="56">
        <v>29591.000000000004</v>
      </c>
      <c r="Y120" s="56">
        <v>29904.999999999996</v>
      </c>
      <c r="Z120" s="56">
        <v>30229</v>
      </c>
      <c r="AA120" s="56">
        <v>30543.000000000004</v>
      </c>
      <c r="AB120" s="56">
        <v>30840.999999999996</v>
      </c>
      <c r="AC120" s="56">
        <v>31149.000000000004</v>
      </c>
      <c r="AD120" s="56">
        <v>31440.000000000004</v>
      </c>
      <c r="AE120" s="56">
        <v>31717</v>
      </c>
      <c r="AF120" s="56">
        <v>31976.999999999996</v>
      </c>
      <c r="AG120" s="56">
        <v>32226</v>
      </c>
    </row>
    <row r="121" spans="1:33" x14ac:dyDescent="0.3">
      <c r="A121" s="369" t="s">
        <v>78</v>
      </c>
      <c r="B121" s="370" t="s">
        <v>78</v>
      </c>
      <c r="C121" s="56">
        <v>656373.99999999988</v>
      </c>
      <c r="D121" s="56">
        <v>674386</v>
      </c>
      <c r="E121" s="56">
        <v>695054.99999999988</v>
      </c>
      <c r="F121" s="56">
        <v>717198.00000000012</v>
      </c>
      <c r="G121" s="56">
        <v>738481</v>
      </c>
      <c r="H121" s="56">
        <v>757403.99999999988</v>
      </c>
      <c r="I121" s="56">
        <v>774144.99999999988</v>
      </c>
      <c r="J121" s="56">
        <v>788259.00000000012</v>
      </c>
      <c r="K121" s="56">
        <v>800039</v>
      </c>
      <c r="L121" s="56">
        <v>810257.00000000012</v>
      </c>
      <c r="M121" s="56">
        <v>819328.00000000012</v>
      </c>
      <c r="N121" s="56">
        <v>825671.99999999977</v>
      </c>
      <c r="O121" s="56">
        <v>831203</v>
      </c>
      <c r="P121" s="56">
        <v>835744</v>
      </c>
      <c r="Q121" s="56">
        <v>839338.00000000012</v>
      </c>
      <c r="R121" s="56">
        <v>842228.00000000012</v>
      </c>
      <c r="S121" s="56">
        <v>844062</v>
      </c>
      <c r="T121" s="56">
        <v>846198.00000000023</v>
      </c>
      <c r="U121" s="56">
        <v>848513.99999999988</v>
      </c>
      <c r="V121" s="56">
        <v>850978.99999999988</v>
      </c>
      <c r="W121" s="56">
        <v>853781</v>
      </c>
      <c r="X121" s="56">
        <v>858538.00000000012</v>
      </c>
      <c r="Y121" s="56">
        <v>863413.00000000012</v>
      </c>
      <c r="Z121" s="56">
        <v>869040.99999999988</v>
      </c>
      <c r="AA121" s="56">
        <v>876088.99999999988</v>
      </c>
      <c r="AB121" s="56">
        <v>884794.99999999988</v>
      </c>
      <c r="AC121" s="56">
        <v>895578.00000000012</v>
      </c>
      <c r="AD121" s="56">
        <v>907410</v>
      </c>
      <c r="AE121" s="56">
        <v>920127</v>
      </c>
      <c r="AF121" s="56">
        <v>933266.99999999977</v>
      </c>
      <c r="AG121" s="56">
        <v>946327.00000000012</v>
      </c>
    </row>
    <row r="122" spans="1:33" x14ac:dyDescent="0.3">
      <c r="A122" s="369" t="s">
        <v>351</v>
      </c>
      <c r="B122" s="370" t="s">
        <v>351</v>
      </c>
      <c r="C122" s="56">
        <v>157326.99999999997</v>
      </c>
      <c r="D122" s="56">
        <v>156873.00000000003</v>
      </c>
      <c r="E122" s="56">
        <v>156213.00000000003</v>
      </c>
      <c r="F122" s="56">
        <v>155382.00000000003</v>
      </c>
      <c r="G122" s="56">
        <v>154518.99999999997</v>
      </c>
      <c r="H122" s="56">
        <v>153738.00000000003</v>
      </c>
      <c r="I122" s="56">
        <v>153296.00000000006</v>
      </c>
      <c r="J122" s="56">
        <v>152998</v>
      </c>
      <c r="K122" s="56">
        <v>152751</v>
      </c>
      <c r="L122" s="56">
        <v>152440.99999999997</v>
      </c>
      <c r="M122" s="56">
        <v>151951</v>
      </c>
      <c r="N122" s="56">
        <v>151042</v>
      </c>
      <c r="O122" s="56">
        <v>150084.99999999997</v>
      </c>
      <c r="P122" s="56">
        <v>149130.99999999997</v>
      </c>
      <c r="Q122" s="56">
        <v>148259</v>
      </c>
      <c r="R122" s="56">
        <v>147503.99999999997</v>
      </c>
      <c r="S122" s="56">
        <v>147077</v>
      </c>
      <c r="T122" s="56">
        <v>146653.00000000003</v>
      </c>
      <c r="U122" s="56">
        <v>146220</v>
      </c>
      <c r="V122" s="56">
        <v>145762</v>
      </c>
      <c r="W122" s="56">
        <v>145244.99999999997</v>
      </c>
      <c r="X122" s="56">
        <v>144569.00000000006</v>
      </c>
      <c r="Y122" s="56">
        <v>143883</v>
      </c>
      <c r="Z122" s="56">
        <v>143150.99999999997</v>
      </c>
      <c r="AA122" s="56">
        <v>142347.99999999997</v>
      </c>
      <c r="AB122" s="56">
        <v>141472</v>
      </c>
      <c r="AC122" s="56">
        <v>140600.00000000003</v>
      </c>
      <c r="AD122" s="56">
        <v>139654.00000000003</v>
      </c>
      <c r="AE122" s="56">
        <v>138632</v>
      </c>
      <c r="AF122" s="56">
        <v>137545.99999999997</v>
      </c>
      <c r="AG122" s="56">
        <v>136415.00000000003</v>
      </c>
    </row>
    <row r="123" spans="1:33" x14ac:dyDescent="0.3">
      <c r="A123" s="369" t="s">
        <v>202</v>
      </c>
      <c r="B123" s="370" t="s">
        <v>202</v>
      </c>
      <c r="C123" s="56">
        <v>7756037.9999999991</v>
      </c>
      <c r="D123" s="56">
        <v>7926489.0000000019</v>
      </c>
      <c r="E123" s="56">
        <v>8068481.9999999991</v>
      </c>
      <c r="F123" s="56">
        <v>8190702.9999999991</v>
      </c>
      <c r="G123" s="56">
        <v>8307405.0000000009</v>
      </c>
      <c r="H123" s="56">
        <v>8425837.9999999981</v>
      </c>
      <c r="I123" s="56">
        <v>8536545</v>
      </c>
      <c r="J123" s="56">
        <v>8650779.9999999963</v>
      </c>
      <c r="K123" s="56">
        <v>8763616</v>
      </c>
      <c r="L123" s="56">
        <v>8865672.9999999981</v>
      </c>
      <c r="M123" s="56">
        <v>8952105.9999999981</v>
      </c>
      <c r="N123" s="56">
        <v>9034346.9999999981</v>
      </c>
      <c r="O123" s="56">
        <v>9099045.9999999963</v>
      </c>
      <c r="P123" s="56">
        <v>9151617.0000000037</v>
      </c>
      <c r="Q123" s="56">
        <v>9202228.9999999981</v>
      </c>
      <c r="R123" s="56">
        <v>9256786.9999999963</v>
      </c>
      <c r="S123" s="56">
        <v>9313610.9999999981</v>
      </c>
      <c r="T123" s="56">
        <v>9381414</v>
      </c>
      <c r="U123" s="56">
        <v>9453991.0000000019</v>
      </c>
      <c r="V123" s="56">
        <v>9521455</v>
      </c>
      <c r="W123" s="56">
        <v>9579449</v>
      </c>
      <c r="X123" s="56">
        <v>9648850</v>
      </c>
      <c r="Y123" s="56">
        <v>9704700</v>
      </c>
      <c r="Z123" s="56">
        <v>9753956</v>
      </c>
      <c r="AA123" s="56">
        <v>9806948</v>
      </c>
      <c r="AB123" s="56">
        <v>9867964.0000000019</v>
      </c>
      <c r="AC123" s="56">
        <v>9930480.0000000019</v>
      </c>
      <c r="AD123" s="56">
        <v>10000765.999999998</v>
      </c>
      <c r="AE123" s="56">
        <v>10072779.999999998</v>
      </c>
      <c r="AF123" s="56">
        <v>10135820.000000002</v>
      </c>
      <c r="AG123" s="56">
        <v>10183884.999999998</v>
      </c>
    </row>
    <row r="124" spans="1:33" x14ac:dyDescent="0.3">
      <c r="A124" s="369" t="s">
        <v>38</v>
      </c>
      <c r="B124" s="370" t="s">
        <v>38</v>
      </c>
      <c r="C124" s="56">
        <v>4246713.0000000009</v>
      </c>
      <c r="D124" s="56">
        <v>4352954.0000000009</v>
      </c>
      <c r="E124" s="56">
        <v>4466795.9999999991</v>
      </c>
      <c r="F124" s="56">
        <v>4587040</v>
      </c>
      <c r="G124" s="56">
        <v>4713224.0000000009</v>
      </c>
      <c r="H124" s="56">
        <v>4845135</v>
      </c>
      <c r="I124" s="56">
        <v>4962566.9999999991</v>
      </c>
      <c r="J124" s="56">
        <v>5090137.0000000009</v>
      </c>
      <c r="K124" s="56">
        <v>5226723.0000000009</v>
      </c>
      <c r="L124" s="56">
        <v>5370849.0000000009</v>
      </c>
      <c r="M124" s="56">
        <v>5522366.9999999991</v>
      </c>
      <c r="N124" s="56">
        <v>5677554</v>
      </c>
      <c r="O124" s="56">
        <v>5840065</v>
      </c>
      <c r="P124" s="56">
        <v>6012117</v>
      </c>
      <c r="Q124" s="56">
        <v>6196969.9999999981</v>
      </c>
      <c r="R124" s="56">
        <v>6396244</v>
      </c>
      <c r="S124" s="56">
        <v>6605887.0000000009</v>
      </c>
      <c r="T124" s="56">
        <v>6829337</v>
      </c>
      <c r="U124" s="56">
        <v>7064693.9999999981</v>
      </c>
      <c r="V124" s="56">
        <v>7308645.0000000019</v>
      </c>
      <c r="W124" s="56">
        <v>7558904</v>
      </c>
      <c r="X124" s="56">
        <v>7809452.9999999991</v>
      </c>
      <c r="Y124" s="56">
        <v>8066722</v>
      </c>
      <c r="Z124" s="56">
        <v>8330370.0000000009</v>
      </c>
      <c r="AA124" s="56">
        <v>8600632</v>
      </c>
      <c r="AB124" s="56">
        <v>8877598.9999999981</v>
      </c>
      <c r="AC124" s="56">
        <v>9154889</v>
      </c>
      <c r="AD124" s="56">
        <v>9439846</v>
      </c>
      <c r="AE124" s="56">
        <v>9731487</v>
      </c>
      <c r="AF124" s="56">
        <v>10028716</v>
      </c>
      <c r="AG124" s="56">
        <v>10331068</v>
      </c>
    </row>
    <row r="125" spans="1:33" x14ac:dyDescent="0.3">
      <c r="A125" s="369" t="s">
        <v>79</v>
      </c>
      <c r="B125" s="370" t="s">
        <v>79</v>
      </c>
      <c r="C125" s="56">
        <v>13215594.000000004</v>
      </c>
      <c r="D125" s="56">
        <v>13384875.999999996</v>
      </c>
      <c r="E125" s="56">
        <v>13523606</v>
      </c>
      <c r="F125" s="56">
        <v>13635567</v>
      </c>
      <c r="G125" s="56">
        <v>13729509.000000002</v>
      </c>
      <c r="H125" s="56">
        <v>13813589</v>
      </c>
      <c r="I125" s="56">
        <v>13871027.000000002</v>
      </c>
      <c r="J125" s="56">
        <v>13924524.000000002</v>
      </c>
      <c r="K125" s="56">
        <v>13978757</v>
      </c>
      <c r="L125" s="56">
        <v>14037484</v>
      </c>
      <c r="M125" s="56">
        <v>14103244</v>
      </c>
      <c r="N125" s="56">
        <v>14215193.999999998</v>
      </c>
      <c r="O125" s="56">
        <v>14331496.000000002</v>
      </c>
      <c r="P125" s="56">
        <v>14450336</v>
      </c>
      <c r="Q125" s="56">
        <v>14567955.000000002</v>
      </c>
      <c r="R125" s="56">
        <v>14679562.999999998</v>
      </c>
      <c r="S125" s="56">
        <v>14779062.000000002</v>
      </c>
      <c r="T125" s="56">
        <v>14865630.000000002</v>
      </c>
      <c r="U125" s="56">
        <v>14942774.000000004</v>
      </c>
      <c r="V125" s="56">
        <v>15014155</v>
      </c>
      <c r="W125" s="56">
        <v>15082202.000000002</v>
      </c>
      <c r="X125" s="56">
        <v>15162550.000000002</v>
      </c>
      <c r="Y125" s="56">
        <v>15246336.000000002</v>
      </c>
      <c r="Z125" s="56">
        <v>15326792.000000002</v>
      </c>
      <c r="AA125" s="56">
        <v>15395980.999999996</v>
      </c>
      <c r="AB125" s="56">
        <v>15449919</v>
      </c>
      <c r="AC125" s="56">
        <v>15503071.999999996</v>
      </c>
      <c r="AD125" s="56">
        <v>15541832</v>
      </c>
      <c r="AE125" s="56">
        <v>15569591.000000002</v>
      </c>
      <c r="AF125" s="56">
        <v>15592834</v>
      </c>
      <c r="AG125" s="56">
        <v>15615279.999999996</v>
      </c>
    </row>
    <row r="126" spans="1:33" x14ac:dyDescent="0.3">
      <c r="A126" s="369" t="s">
        <v>204</v>
      </c>
      <c r="B126" s="370" t="s">
        <v>204</v>
      </c>
      <c r="C126" s="56">
        <v>453953</v>
      </c>
      <c r="D126" s="56">
        <v>463332.99999999994</v>
      </c>
      <c r="E126" s="56">
        <v>472953.00000000012</v>
      </c>
      <c r="F126" s="56">
        <v>482880.00000000006</v>
      </c>
      <c r="G126" s="56">
        <v>493075</v>
      </c>
      <c r="H126" s="56">
        <v>503479.99999999994</v>
      </c>
      <c r="I126" s="56">
        <v>515323.00000000012</v>
      </c>
      <c r="J126" s="56">
        <v>526737.00000000012</v>
      </c>
      <c r="K126" s="56">
        <v>537888.99999999988</v>
      </c>
      <c r="L126" s="56">
        <v>549016.00000000023</v>
      </c>
      <c r="M126" s="56">
        <v>560105.00000000012</v>
      </c>
      <c r="N126" s="56">
        <v>570486</v>
      </c>
      <c r="O126" s="56">
        <v>581450</v>
      </c>
      <c r="P126" s="56">
        <v>592648.00000000012</v>
      </c>
      <c r="Q126" s="56">
        <v>603615</v>
      </c>
      <c r="R126" s="56">
        <v>614243.99999999988</v>
      </c>
      <c r="S126" s="56">
        <v>625217.99999999977</v>
      </c>
      <c r="T126" s="56">
        <v>636055.00000000023</v>
      </c>
      <c r="U126" s="56">
        <v>646891.99999999977</v>
      </c>
      <c r="V126" s="56">
        <v>658061</v>
      </c>
      <c r="W126" s="56">
        <v>669761.00000000012</v>
      </c>
      <c r="X126" s="56">
        <v>682084.99999999988</v>
      </c>
      <c r="Y126" s="56">
        <v>694684.00000000012</v>
      </c>
      <c r="Z126" s="56">
        <v>707753</v>
      </c>
      <c r="AA126" s="56">
        <v>721435</v>
      </c>
      <c r="AB126" s="56">
        <v>735751.99999999988</v>
      </c>
      <c r="AC126" s="56">
        <v>750409</v>
      </c>
      <c r="AD126" s="56">
        <v>765622.00000000012</v>
      </c>
      <c r="AE126" s="56">
        <v>781228</v>
      </c>
      <c r="AF126" s="56">
        <v>796937.00000000012</v>
      </c>
      <c r="AG126" s="56">
        <v>812531</v>
      </c>
    </row>
    <row r="127" spans="1:33" x14ac:dyDescent="0.3">
      <c r="A127" s="370" t="s">
        <v>80</v>
      </c>
      <c r="B127" s="370" t="s">
        <v>80</v>
      </c>
      <c r="C127" s="56">
        <v>5754231</v>
      </c>
      <c r="D127" s="56">
        <v>5875083.0000000009</v>
      </c>
      <c r="E127" s="56">
        <v>5990137</v>
      </c>
      <c r="F127" s="56">
        <v>6101849.0000000009</v>
      </c>
      <c r="G127" s="56">
        <v>6213931.9999999991</v>
      </c>
      <c r="H127" s="56">
        <v>6330688.0000000009</v>
      </c>
      <c r="I127" s="56">
        <v>6465878.9999999991</v>
      </c>
      <c r="J127" s="56">
        <v>6594964.9999999981</v>
      </c>
      <c r="K127" s="56">
        <v>6721853.0000000009</v>
      </c>
      <c r="L127" s="56">
        <v>6853092.9999999991</v>
      </c>
      <c r="M127" s="56">
        <v>6993672</v>
      </c>
      <c r="N127" s="56">
        <v>7167547.9999999991</v>
      </c>
      <c r="O127" s="56">
        <v>7358017</v>
      </c>
      <c r="P127" s="56">
        <v>7559845.0000000009</v>
      </c>
      <c r="Q127" s="56">
        <v>7764508.0000000009</v>
      </c>
      <c r="R127" s="56">
        <v>7966795</v>
      </c>
      <c r="S127" s="56">
        <v>8191447</v>
      </c>
      <c r="T127" s="56">
        <v>8414803</v>
      </c>
      <c r="U127" s="56">
        <v>8632855</v>
      </c>
      <c r="V127" s="56">
        <v>8839765.9999999981</v>
      </c>
      <c r="W127" s="56">
        <v>9029302.9999999981</v>
      </c>
      <c r="X127" s="56">
        <v>9183353.0000000037</v>
      </c>
      <c r="Y127" s="56">
        <v>9316048</v>
      </c>
      <c r="Z127" s="56">
        <v>9430935</v>
      </c>
      <c r="AA127" s="56">
        <v>9534474.9999999981</v>
      </c>
      <c r="AB127" s="56">
        <v>9630738.9999999981</v>
      </c>
      <c r="AC127" s="56">
        <v>9712812</v>
      </c>
      <c r="AD127" s="56">
        <v>9791355.0000000019</v>
      </c>
      <c r="AE127" s="56">
        <v>9862505.0000000019</v>
      </c>
      <c r="AF127" s="56">
        <v>9920849</v>
      </c>
      <c r="AG127" s="56">
        <v>9964055.9999999981</v>
      </c>
    </row>
    <row r="128" spans="1:33" x14ac:dyDescent="0.3">
      <c r="A128" s="369" t="s">
        <v>362</v>
      </c>
      <c r="B128" s="370" t="s">
        <v>362</v>
      </c>
      <c r="C128" s="56">
        <v>3954726</v>
      </c>
      <c r="D128" s="56">
        <v>3947085.0000000005</v>
      </c>
      <c r="E128" s="56">
        <v>3941143.0000000005</v>
      </c>
      <c r="F128" s="56">
        <v>3936112</v>
      </c>
      <c r="G128" s="56">
        <v>3930835.0000000005</v>
      </c>
      <c r="H128" s="56">
        <v>3924451.9999999995</v>
      </c>
      <c r="I128" s="56">
        <v>3911719.9999999995</v>
      </c>
      <c r="J128" s="56">
        <v>3900762.0000000005</v>
      </c>
      <c r="K128" s="56">
        <v>3889529.9999999995</v>
      </c>
      <c r="L128" s="56">
        <v>3875335.0000000005</v>
      </c>
      <c r="M128" s="56">
        <v>3856960.0000000005</v>
      </c>
      <c r="N128" s="56">
        <v>3840600</v>
      </c>
      <c r="O128" s="56">
        <v>3820486.9999999995</v>
      </c>
      <c r="P128" s="56">
        <v>3797942.0000000005</v>
      </c>
      <c r="Q128" s="56">
        <v>3775482.9999999995</v>
      </c>
      <c r="R128" s="56">
        <v>3754384.0000000005</v>
      </c>
      <c r="S128" s="56">
        <v>3728441.0000000005</v>
      </c>
      <c r="T128" s="56">
        <v>3703690.0000000005</v>
      </c>
      <c r="U128" s="56">
        <v>3679984</v>
      </c>
      <c r="V128" s="56">
        <v>3656526.9999999995</v>
      </c>
      <c r="W128" s="56">
        <v>3632988.0000000009</v>
      </c>
      <c r="X128" s="56">
        <v>3614203.9999999991</v>
      </c>
      <c r="Y128" s="56">
        <v>3595691.0000000009</v>
      </c>
      <c r="Z128" s="56">
        <v>3577985</v>
      </c>
      <c r="AA128" s="56">
        <v>3562345.9999999991</v>
      </c>
      <c r="AB128" s="56">
        <v>3549289.9999999991</v>
      </c>
      <c r="AC128" s="56">
        <v>3540662</v>
      </c>
      <c r="AD128" s="56">
        <v>3535481</v>
      </c>
      <c r="AE128" s="56">
        <v>3531857</v>
      </c>
      <c r="AF128" s="56">
        <v>3526990.0000000005</v>
      </c>
      <c r="AG128" s="56">
        <v>3519139.9999999991</v>
      </c>
    </row>
    <row r="129" spans="1:33" x14ac:dyDescent="0.3">
      <c r="A129" s="369" t="s">
        <v>398</v>
      </c>
      <c r="B129" s="370" t="s">
        <v>398</v>
      </c>
      <c r="C129" s="56">
        <v>57159.999999999993</v>
      </c>
      <c r="D129" s="56">
        <v>58364.000000000007</v>
      </c>
      <c r="E129" s="56">
        <v>59654.999999999985</v>
      </c>
      <c r="F129" s="56">
        <v>60979.000000000007</v>
      </c>
      <c r="G129" s="56">
        <v>62230.999999999993</v>
      </c>
      <c r="H129" s="56">
        <v>63355</v>
      </c>
      <c r="I129" s="56">
        <v>64637.999999999993</v>
      </c>
      <c r="J129" s="56">
        <v>65574.000000000015</v>
      </c>
      <c r="K129" s="56">
        <v>66218</v>
      </c>
      <c r="L129" s="56">
        <v>66722</v>
      </c>
      <c r="M129" s="56">
        <v>67219</v>
      </c>
      <c r="N129" s="56">
        <v>67662.999999999985</v>
      </c>
      <c r="O129" s="56">
        <v>68296</v>
      </c>
      <c r="P129" s="56">
        <v>69024</v>
      </c>
      <c r="Q129" s="56">
        <v>69704</v>
      </c>
      <c r="R129" s="56">
        <v>70262</v>
      </c>
      <c r="S129" s="56">
        <v>70785.999999999985</v>
      </c>
      <c r="T129" s="56">
        <v>71232.999999999985</v>
      </c>
      <c r="U129" s="56">
        <v>71605</v>
      </c>
      <c r="V129" s="56">
        <v>71919</v>
      </c>
      <c r="W129" s="56">
        <v>72182.000000000015</v>
      </c>
      <c r="X129" s="56">
        <v>72468.999999999985</v>
      </c>
      <c r="Y129" s="56">
        <v>72662</v>
      </c>
      <c r="Z129" s="56">
        <v>72808</v>
      </c>
      <c r="AA129" s="56">
        <v>72981</v>
      </c>
      <c r="AB129" s="56">
        <v>73211</v>
      </c>
      <c r="AC129" s="56">
        <v>73462.999999999971</v>
      </c>
      <c r="AD129" s="56">
        <v>73794</v>
      </c>
      <c r="AE129" s="56">
        <v>74158.999999999985</v>
      </c>
      <c r="AF129" s="56">
        <v>74466.000000000015</v>
      </c>
      <c r="AG129" s="56">
        <v>74670</v>
      </c>
    </row>
    <row r="130" spans="1:33" x14ac:dyDescent="0.3">
      <c r="A130" s="369" t="s">
        <v>395</v>
      </c>
      <c r="B130" s="370" t="s">
        <v>395</v>
      </c>
      <c r="C130" s="56">
        <v>990910</v>
      </c>
      <c r="D130" s="56">
        <v>1002713.0000000001</v>
      </c>
      <c r="E130" s="56">
        <v>1016498.9999999999</v>
      </c>
      <c r="F130" s="56">
        <v>1031549.0000000002</v>
      </c>
      <c r="G130" s="56">
        <v>1046211</v>
      </c>
      <c r="H130" s="56">
        <v>1058970.9999999998</v>
      </c>
      <c r="I130" s="56">
        <v>1066131</v>
      </c>
      <c r="J130" s="56">
        <v>1071369.0000000002</v>
      </c>
      <c r="K130" s="56">
        <v>1075561.0000000002</v>
      </c>
      <c r="L130" s="56">
        <v>1079504.9999999998</v>
      </c>
      <c r="M130" s="56">
        <v>1083387</v>
      </c>
      <c r="N130" s="56">
        <v>1084633.0000000002</v>
      </c>
      <c r="O130" s="56">
        <v>1086607</v>
      </c>
      <c r="P130" s="56">
        <v>1089100.0000000002</v>
      </c>
      <c r="Q130" s="56">
        <v>1091708.9999999998</v>
      </c>
      <c r="R130" s="56">
        <v>1094098.9999999998</v>
      </c>
      <c r="S130" s="56">
        <v>1096343</v>
      </c>
      <c r="T130" s="56">
        <v>1097855</v>
      </c>
      <c r="U130" s="56">
        <v>1098951</v>
      </c>
      <c r="V130" s="56">
        <v>1100086</v>
      </c>
      <c r="W130" s="56">
        <v>1101490</v>
      </c>
      <c r="X130" s="56">
        <v>1103246.9999999998</v>
      </c>
      <c r="Y130" s="56">
        <v>1105089.0000000002</v>
      </c>
      <c r="Z130" s="56">
        <v>1107371</v>
      </c>
      <c r="AA130" s="56">
        <v>1110476</v>
      </c>
      <c r="AB130" s="56">
        <v>1114554</v>
      </c>
      <c r="AC130" s="56">
        <v>1120018.0000000002</v>
      </c>
      <c r="AD130" s="56">
        <v>1126753.0000000005</v>
      </c>
      <c r="AE130" s="56">
        <v>1133986.9999999998</v>
      </c>
      <c r="AF130" s="56">
        <v>1140622.9999999998</v>
      </c>
      <c r="AG130" s="56">
        <v>1145978.9999999998</v>
      </c>
    </row>
    <row r="131" spans="1:33" x14ac:dyDescent="0.3">
      <c r="A131" s="369" t="s">
        <v>81</v>
      </c>
      <c r="B131" s="370" t="s">
        <v>81</v>
      </c>
      <c r="C131" s="56">
        <v>1303887.9999999998</v>
      </c>
      <c r="D131" s="56">
        <v>1338552.0000000002</v>
      </c>
      <c r="E131" s="56">
        <v>1369829.0000000002</v>
      </c>
      <c r="F131" s="56">
        <v>1398654</v>
      </c>
      <c r="G131" s="56">
        <v>1426603</v>
      </c>
      <c r="H131" s="56">
        <v>1454538.0000000005</v>
      </c>
      <c r="I131" s="56">
        <v>1483509</v>
      </c>
      <c r="J131" s="56">
        <v>1512184.9999999995</v>
      </c>
      <c r="K131" s="56">
        <v>1540173.9999999998</v>
      </c>
      <c r="L131" s="56">
        <v>1566835</v>
      </c>
      <c r="M131" s="56">
        <v>1591828</v>
      </c>
      <c r="N131" s="56">
        <v>1616955</v>
      </c>
      <c r="O131" s="56">
        <v>1640666.0000000002</v>
      </c>
      <c r="P131" s="56">
        <v>1662996.9999999993</v>
      </c>
      <c r="Q131" s="56">
        <v>1684192.9999999998</v>
      </c>
      <c r="R131" s="56">
        <v>1704504</v>
      </c>
      <c r="S131" s="56">
        <v>1726157.9999999998</v>
      </c>
      <c r="T131" s="56">
        <v>1747105.9999999998</v>
      </c>
      <c r="U131" s="56">
        <v>1767176</v>
      </c>
      <c r="V131" s="56">
        <v>1786206.0000000002</v>
      </c>
      <c r="W131" s="56">
        <v>1804102</v>
      </c>
      <c r="X131" s="56">
        <v>1822949.9999999998</v>
      </c>
      <c r="Y131" s="56">
        <v>1840734</v>
      </c>
      <c r="Z131" s="56">
        <v>1857558.9999999995</v>
      </c>
      <c r="AA131" s="56">
        <v>1873553.9999999998</v>
      </c>
      <c r="AB131" s="56">
        <v>1888733</v>
      </c>
      <c r="AC131" s="56">
        <v>1905282</v>
      </c>
      <c r="AD131" s="56">
        <v>1921097.0000000002</v>
      </c>
      <c r="AE131" s="56">
        <v>1935847</v>
      </c>
      <c r="AF131" s="56">
        <v>1949061</v>
      </c>
      <c r="AG131" s="56">
        <v>1960393.0000000002</v>
      </c>
    </row>
    <row r="132" spans="1:33" x14ac:dyDescent="0.3">
      <c r="A132" s="369" t="s">
        <v>39</v>
      </c>
      <c r="B132" s="370" t="s">
        <v>39</v>
      </c>
      <c r="C132" s="56">
        <v>2493621</v>
      </c>
      <c r="D132" s="56">
        <v>2568399</v>
      </c>
      <c r="E132" s="56">
        <v>2650220</v>
      </c>
      <c r="F132" s="56">
        <v>2737926</v>
      </c>
      <c r="G132" s="56">
        <v>2830643.0000000005</v>
      </c>
      <c r="H132" s="56">
        <v>2928193.9999999991</v>
      </c>
      <c r="I132" s="56">
        <v>3020700.0000000005</v>
      </c>
      <c r="J132" s="56">
        <v>3120146</v>
      </c>
      <c r="K132" s="56">
        <v>3226619</v>
      </c>
      <c r="L132" s="56">
        <v>3340742</v>
      </c>
      <c r="M132" s="56">
        <v>3463102</v>
      </c>
      <c r="N132" s="56">
        <v>3585865.9999999995</v>
      </c>
      <c r="O132" s="56">
        <v>3719064.0000000005</v>
      </c>
      <c r="P132" s="56">
        <v>3862006.0000000014</v>
      </c>
      <c r="Q132" s="56">
        <v>4014069.0000000005</v>
      </c>
      <c r="R132" s="56">
        <v>4175086.0000000009</v>
      </c>
      <c r="S132" s="56">
        <v>4338584.0000000019</v>
      </c>
      <c r="T132" s="56">
        <v>4512875.0000000009</v>
      </c>
      <c r="U132" s="56">
        <v>4697557.0000000009</v>
      </c>
      <c r="V132" s="56">
        <v>4892347</v>
      </c>
      <c r="W132" s="56">
        <v>5097271.9999999991</v>
      </c>
      <c r="X132" s="56">
        <v>5308174.9999999991</v>
      </c>
      <c r="Y132" s="56">
        <v>5529858.0000000009</v>
      </c>
      <c r="Z132" s="56">
        <v>5762478.9999999991</v>
      </c>
      <c r="AA132" s="56">
        <v>6006299.0000000019</v>
      </c>
      <c r="AB132" s="56">
        <v>6261383</v>
      </c>
      <c r="AC132" s="56">
        <v>6521719</v>
      </c>
      <c r="AD132" s="56">
        <v>6794648.0000000009</v>
      </c>
      <c r="AE132" s="56">
        <v>7079378.9999999991</v>
      </c>
      <c r="AF132" s="56">
        <v>7374838</v>
      </c>
      <c r="AG132" s="56">
        <v>7680503.0000000019</v>
      </c>
    </row>
    <row r="133" spans="1:33" x14ac:dyDescent="0.3">
      <c r="A133" s="369" t="s">
        <v>40</v>
      </c>
      <c r="B133" s="370" t="s">
        <v>40</v>
      </c>
      <c r="C133" s="56">
        <v>28068835.999999993</v>
      </c>
      <c r="D133" s="56">
        <v>28788866</v>
      </c>
      <c r="E133" s="56">
        <v>29540872.999999996</v>
      </c>
      <c r="F133" s="56">
        <v>30321981.000000004</v>
      </c>
      <c r="G133" s="56">
        <v>31130289.000000007</v>
      </c>
      <c r="H133" s="56">
        <v>31964763.999999996</v>
      </c>
      <c r="I133" s="56">
        <v>32741825.999999996</v>
      </c>
      <c r="J133" s="56">
        <v>33563487</v>
      </c>
      <c r="K133" s="56">
        <v>34425992.999999993</v>
      </c>
      <c r="L133" s="56">
        <v>35325253</v>
      </c>
      <c r="M133" s="56">
        <v>36259569.000000007</v>
      </c>
      <c r="N133" s="56">
        <v>37179301.000000007</v>
      </c>
      <c r="O133" s="56">
        <v>38140316.999999985</v>
      </c>
      <c r="P133" s="56">
        <v>39149054</v>
      </c>
      <c r="Q133" s="56">
        <v>40215410</v>
      </c>
      <c r="R133" s="56">
        <v>41343109.999999985</v>
      </c>
      <c r="S133" s="56">
        <v>42459704.999999993</v>
      </c>
      <c r="T133" s="56">
        <v>43652665.000000007</v>
      </c>
      <c r="U133" s="56">
        <v>44911135</v>
      </c>
      <c r="V133" s="56">
        <v>46216829.999999993</v>
      </c>
      <c r="W133" s="56">
        <v>47558494</v>
      </c>
      <c r="X133" s="56">
        <v>48906919</v>
      </c>
      <c r="Y133" s="56">
        <v>50291723.999999993</v>
      </c>
      <c r="Z133" s="56">
        <v>51718874.999999993</v>
      </c>
      <c r="AA133" s="56">
        <v>53196610.999999993</v>
      </c>
      <c r="AB133" s="56">
        <v>54725803.000000007</v>
      </c>
      <c r="AC133" s="56">
        <v>56249479.000000007</v>
      </c>
      <c r="AD133" s="56">
        <v>57828326.999999993</v>
      </c>
      <c r="AE133" s="56">
        <v>59456147.999999993</v>
      </c>
      <c r="AF133" s="56">
        <v>61121064.999999993</v>
      </c>
      <c r="AG133" s="56">
        <v>62814371.000000007</v>
      </c>
    </row>
    <row r="134" spans="1:33" x14ac:dyDescent="0.3">
      <c r="A134" s="369" t="s">
        <v>342</v>
      </c>
      <c r="B134" s="370" t="s">
        <v>342</v>
      </c>
      <c r="C134" s="56">
        <v>1067868</v>
      </c>
      <c r="D134" s="56">
        <v>1068783.9999999998</v>
      </c>
      <c r="E134" s="56">
        <v>1070940</v>
      </c>
      <c r="F134" s="56">
        <v>1074311</v>
      </c>
      <c r="G134" s="56">
        <v>1078617</v>
      </c>
      <c r="H134" s="56">
        <v>1083632</v>
      </c>
      <c r="I134" s="56">
        <v>1092532</v>
      </c>
      <c r="J134" s="56">
        <v>1102099.0000000002</v>
      </c>
      <c r="K134" s="56">
        <v>1112315.9999999998</v>
      </c>
      <c r="L134" s="56">
        <v>1123342.9999999998</v>
      </c>
      <c r="M134" s="56">
        <v>1135165.0000000002</v>
      </c>
      <c r="N134" s="56">
        <v>1148638</v>
      </c>
      <c r="O134" s="56">
        <v>1163474</v>
      </c>
      <c r="P134" s="56">
        <v>1178237</v>
      </c>
      <c r="Q134" s="56">
        <v>1191139</v>
      </c>
      <c r="R134" s="56">
        <v>1201207.9999999998</v>
      </c>
      <c r="S134" s="56">
        <v>1207177.0000000002</v>
      </c>
      <c r="T134" s="56">
        <v>1210896</v>
      </c>
      <c r="U134" s="56">
        <v>1213237</v>
      </c>
      <c r="V134" s="56">
        <v>1215505.0000000002</v>
      </c>
      <c r="W134" s="56">
        <v>1218399</v>
      </c>
      <c r="X134" s="56">
        <v>1221992</v>
      </c>
      <c r="Y134" s="56">
        <v>1226096.9999999998</v>
      </c>
      <c r="Z134" s="56">
        <v>1230753.9999999998</v>
      </c>
      <c r="AA134" s="56">
        <v>1236045.9999999995</v>
      </c>
      <c r="AB134" s="56">
        <v>1241884</v>
      </c>
      <c r="AC134" s="56">
        <v>1248004.9999999998</v>
      </c>
      <c r="AD134" s="56">
        <v>1255418.9999999998</v>
      </c>
      <c r="AE134" s="56">
        <v>1263313.9999999998</v>
      </c>
      <c r="AF134" s="56">
        <v>1270536</v>
      </c>
      <c r="AG134" s="56">
        <v>1276370.9999999995</v>
      </c>
    </row>
    <row r="135" spans="1:33" x14ac:dyDescent="0.3">
      <c r="A135" s="369" t="s">
        <v>318</v>
      </c>
      <c r="B135" s="370" t="s">
        <v>318</v>
      </c>
      <c r="C135" s="56">
        <v>498047</v>
      </c>
      <c r="D135" s="56">
        <v>517449.00000000006</v>
      </c>
      <c r="E135" s="56">
        <v>537706</v>
      </c>
      <c r="F135" s="56">
        <v>558615</v>
      </c>
      <c r="G135" s="56">
        <v>579784</v>
      </c>
      <c r="H135" s="56">
        <v>600814.99999999988</v>
      </c>
      <c r="I135" s="56">
        <v>623290.00000000012</v>
      </c>
      <c r="J135" s="56">
        <v>644052.99999999977</v>
      </c>
      <c r="K135" s="56">
        <v>664327</v>
      </c>
      <c r="L135" s="56">
        <v>686284.99999999988</v>
      </c>
      <c r="M135" s="56">
        <v>711488</v>
      </c>
      <c r="N135" s="56">
        <v>741978.00000000023</v>
      </c>
      <c r="O135" s="56">
        <v>776132</v>
      </c>
      <c r="P135" s="56">
        <v>811070.99999999977</v>
      </c>
      <c r="Q135" s="56">
        <v>843660.99999999977</v>
      </c>
      <c r="R135" s="56">
        <v>872344.99999999977</v>
      </c>
      <c r="S135" s="56">
        <v>898093</v>
      </c>
      <c r="T135" s="56">
        <v>920883.00000000012</v>
      </c>
      <c r="U135" s="56">
        <v>941257.99999999942</v>
      </c>
      <c r="V135" s="56">
        <v>960700.99999999988</v>
      </c>
      <c r="W135" s="56">
        <v>980329.99999999988</v>
      </c>
      <c r="X135" s="56">
        <v>995896</v>
      </c>
      <c r="Y135" s="56">
        <v>1013124.0000000001</v>
      </c>
      <c r="Z135" s="56">
        <v>1030983.0000000002</v>
      </c>
      <c r="AA135" s="56">
        <v>1048183</v>
      </c>
      <c r="AB135" s="56">
        <v>1064360.9999999998</v>
      </c>
      <c r="AC135" s="56">
        <v>1082860.0000000005</v>
      </c>
      <c r="AD135" s="56">
        <v>1099448</v>
      </c>
      <c r="AE135" s="56">
        <v>1114970</v>
      </c>
      <c r="AF135" s="56">
        <v>1130830.0000000002</v>
      </c>
      <c r="AG135" s="56">
        <v>1147574.9999999998</v>
      </c>
    </row>
    <row r="136" spans="1:33" x14ac:dyDescent="0.3">
      <c r="A136" s="370" t="s">
        <v>41</v>
      </c>
      <c r="B136" s="370" t="s">
        <v>41</v>
      </c>
      <c r="C136" s="56">
        <v>32050555</v>
      </c>
      <c r="D136" s="56">
        <v>33128018.000000004</v>
      </c>
      <c r="E136" s="56">
        <v>34237702.999999993</v>
      </c>
      <c r="F136" s="56">
        <v>35378284.999999993</v>
      </c>
      <c r="G136" s="56">
        <v>36545695</v>
      </c>
      <c r="H136" s="56">
        <v>37736176.999999993</v>
      </c>
      <c r="I136" s="56">
        <v>38947628</v>
      </c>
      <c r="J136" s="56">
        <v>40175965.000000007</v>
      </c>
      <c r="K136" s="56">
        <v>41415755</v>
      </c>
      <c r="L136" s="56">
        <v>42660487.000000007</v>
      </c>
      <c r="M136" s="56">
        <v>43902981</v>
      </c>
      <c r="N136" s="56">
        <v>45082575.999999993</v>
      </c>
      <c r="O136" s="56">
        <v>46263232</v>
      </c>
      <c r="P136" s="56">
        <v>47440349.999999993</v>
      </c>
      <c r="Q136" s="56">
        <v>48607937.99999997</v>
      </c>
      <c r="R136" s="56">
        <v>49763555</v>
      </c>
      <c r="S136" s="56">
        <v>50898692.000000007</v>
      </c>
      <c r="T136" s="56">
        <v>52020884.00000003</v>
      </c>
      <c r="U136" s="56">
        <v>53135598.999999978</v>
      </c>
      <c r="V136" s="56">
        <v>54257490.999999985</v>
      </c>
      <c r="W136" s="56">
        <v>55395507.999999993</v>
      </c>
      <c r="X136" s="56">
        <v>56512360.000000022</v>
      </c>
      <c r="Y136" s="56">
        <v>57668093.999999993</v>
      </c>
      <c r="Z136" s="56">
        <v>58846420</v>
      </c>
      <c r="AA136" s="56">
        <v>60022628.000000007</v>
      </c>
      <c r="AB136" s="56">
        <v>61185028</v>
      </c>
      <c r="AC136" s="56">
        <v>62381783</v>
      </c>
      <c r="AD136" s="56">
        <v>63549431.999999985</v>
      </c>
      <c r="AE136" s="56">
        <v>64704065.000000015</v>
      </c>
      <c r="AF136" s="56">
        <v>65870285</v>
      </c>
      <c r="AG136" s="56">
        <v>67056137.999999993</v>
      </c>
    </row>
    <row r="137" spans="1:33" x14ac:dyDescent="0.3">
      <c r="A137" s="369" t="s">
        <v>382</v>
      </c>
      <c r="B137" s="370" t="s">
        <v>382</v>
      </c>
      <c r="C137" s="56">
        <v>797935</v>
      </c>
      <c r="D137" s="56">
        <v>813980.00000000023</v>
      </c>
      <c r="E137" s="56">
        <v>830404.00000000012</v>
      </c>
      <c r="F137" s="56">
        <v>846897.99999999988</v>
      </c>
      <c r="G137" s="56">
        <v>862998.99999999988</v>
      </c>
      <c r="H137" s="56">
        <v>878493</v>
      </c>
      <c r="I137" s="56">
        <v>894180.00000000023</v>
      </c>
      <c r="J137" s="56">
        <v>909168.00000000023</v>
      </c>
      <c r="K137" s="56">
        <v>923695.99999999977</v>
      </c>
      <c r="L137" s="56">
        <v>938126</v>
      </c>
      <c r="M137" s="56">
        <v>952576.99999999977</v>
      </c>
      <c r="N137" s="56">
        <v>966763</v>
      </c>
      <c r="O137" s="56">
        <v>981031.00000000023</v>
      </c>
      <c r="P137" s="56">
        <v>995322</v>
      </c>
      <c r="Q137" s="56">
        <v>1009532.0000000002</v>
      </c>
      <c r="R137" s="56">
        <v>1023607</v>
      </c>
      <c r="S137" s="56">
        <v>1038399.0000000001</v>
      </c>
      <c r="T137" s="56">
        <v>1053532</v>
      </c>
      <c r="U137" s="56">
        <v>1068663</v>
      </c>
      <c r="V137" s="56">
        <v>1083361</v>
      </c>
      <c r="W137" s="56">
        <v>1097302.0000000005</v>
      </c>
      <c r="X137" s="56">
        <v>1110238</v>
      </c>
      <c r="Y137" s="56">
        <v>1122256</v>
      </c>
      <c r="Z137" s="56">
        <v>1133634</v>
      </c>
      <c r="AA137" s="56">
        <v>1144757.9999999998</v>
      </c>
      <c r="AB137" s="56">
        <v>1155803</v>
      </c>
      <c r="AC137" s="56">
        <v>1166121.0000000002</v>
      </c>
      <c r="AD137" s="56">
        <v>1176483.0000000002</v>
      </c>
      <c r="AE137" s="56">
        <v>1186730</v>
      </c>
      <c r="AF137" s="56">
        <v>1196586.0000000002</v>
      </c>
      <c r="AG137" s="56">
        <v>1205891</v>
      </c>
    </row>
    <row r="138" spans="1:33" x14ac:dyDescent="0.3">
      <c r="A138" s="369" t="s">
        <v>82</v>
      </c>
      <c r="B138" s="370" t="s">
        <v>82</v>
      </c>
      <c r="C138" s="56">
        <v>1431732</v>
      </c>
      <c r="D138" s="56">
        <v>1462150.9999999998</v>
      </c>
      <c r="E138" s="56">
        <v>1492106</v>
      </c>
      <c r="F138" s="56">
        <v>1522333</v>
      </c>
      <c r="G138" s="56">
        <v>1553879.0000000002</v>
      </c>
      <c r="H138" s="56">
        <v>1587522.0000000002</v>
      </c>
      <c r="I138" s="56">
        <v>1624793.9999999995</v>
      </c>
      <c r="J138" s="56">
        <v>1664141</v>
      </c>
      <c r="K138" s="56">
        <v>1705170</v>
      </c>
      <c r="L138" s="56">
        <v>1747512</v>
      </c>
      <c r="M138" s="56">
        <v>1790749</v>
      </c>
      <c r="N138" s="56">
        <v>1834921.9999999998</v>
      </c>
      <c r="O138" s="56">
        <v>1880176.0000000002</v>
      </c>
      <c r="P138" s="56">
        <v>1926431.9999999995</v>
      </c>
      <c r="Q138" s="56">
        <v>1973374.9999999998</v>
      </c>
      <c r="R138" s="56">
        <v>2020883.9999999991</v>
      </c>
      <c r="S138" s="56">
        <v>2068335.0000000005</v>
      </c>
      <c r="T138" s="56">
        <v>2116095.0000000009</v>
      </c>
      <c r="U138" s="56">
        <v>2164183.9999999991</v>
      </c>
      <c r="V138" s="56">
        <v>2212709</v>
      </c>
      <c r="W138" s="56">
        <v>2261584.0000000009</v>
      </c>
      <c r="X138" s="56">
        <v>2309725</v>
      </c>
      <c r="Y138" s="56">
        <v>2358313</v>
      </c>
      <c r="Z138" s="56">
        <v>2406966.0000000009</v>
      </c>
      <c r="AA138" s="56">
        <v>2455161.0000000005</v>
      </c>
      <c r="AB138" s="56">
        <v>2502578</v>
      </c>
      <c r="AC138" s="56">
        <v>2549258</v>
      </c>
      <c r="AD138" s="56">
        <v>2595395.9999999995</v>
      </c>
      <c r="AE138" s="56">
        <v>2641023</v>
      </c>
      <c r="AF138" s="56">
        <v>2686289</v>
      </c>
      <c r="AG138" s="56">
        <v>2731299.9999999995</v>
      </c>
    </row>
    <row r="139" spans="1:33" x14ac:dyDescent="0.3">
      <c r="A139" s="369" t="s">
        <v>206</v>
      </c>
      <c r="B139" s="370" t="s">
        <v>206</v>
      </c>
      <c r="C139" s="56">
        <v>1284488.9999999998</v>
      </c>
      <c r="D139" s="56">
        <v>1317411.0000000002</v>
      </c>
      <c r="E139" s="56">
        <v>1351584</v>
      </c>
      <c r="F139" s="56">
        <v>1386113.9999999995</v>
      </c>
      <c r="G139" s="56">
        <v>1419591.0000000002</v>
      </c>
      <c r="H139" s="56">
        <v>1451171</v>
      </c>
      <c r="I139" s="56">
        <v>1481406</v>
      </c>
      <c r="J139" s="56">
        <v>1508714.9999999998</v>
      </c>
      <c r="K139" s="56">
        <v>1534562.9999999998</v>
      </c>
      <c r="L139" s="56">
        <v>1561056.9999999993</v>
      </c>
      <c r="M139" s="56">
        <v>1589224.9999999998</v>
      </c>
      <c r="N139" s="56">
        <v>1617383.9999999998</v>
      </c>
      <c r="O139" s="56">
        <v>1647733.0000000002</v>
      </c>
      <c r="P139" s="56">
        <v>1679132.0000000002</v>
      </c>
      <c r="Q139" s="56">
        <v>1709594</v>
      </c>
      <c r="R139" s="56">
        <v>1738045.0000000007</v>
      </c>
      <c r="S139" s="56">
        <v>1766326.0000000002</v>
      </c>
      <c r="T139" s="56">
        <v>1792128</v>
      </c>
      <c r="U139" s="56">
        <v>1816453</v>
      </c>
      <c r="V139" s="56">
        <v>1841034.9999999995</v>
      </c>
      <c r="W139" s="56">
        <v>1866703.9999999998</v>
      </c>
      <c r="X139" s="56">
        <v>1892450.9999999998</v>
      </c>
      <c r="Y139" s="56">
        <v>1919154</v>
      </c>
      <c r="Z139" s="56">
        <v>1946060.9999999998</v>
      </c>
      <c r="AA139" s="56">
        <v>1971795.9999999998</v>
      </c>
      <c r="AB139" s="56">
        <v>1995527</v>
      </c>
      <c r="AC139" s="56">
        <v>2018517.0000000007</v>
      </c>
      <c r="AD139" s="56">
        <v>2039503</v>
      </c>
      <c r="AE139" s="56">
        <v>2058617.0000000002</v>
      </c>
      <c r="AF139" s="56">
        <v>2076176.9999999998</v>
      </c>
      <c r="AG139" s="56">
        <v>2092285.0000000002</v>
      </c>
    </row>
    <row r="140" spans="1:33" x14ac:dyDescent="0.3">
      <c r="A140" s="369" t="s">
        <v>207</v>
      </c>
      <c r="B140" s="370" t="s">
        <v>207</v>
      </c>
      <c r="C140" s="56">
        <v>6892659.0000000019</v>
      </c>
      <c r="D140" s="56">
        <v>7017178</v>
      </c>
      <c r="E140" s="56">
        <v>7127277.0000000009</v>
      </c>
      <c r="F140" s="56">
        <v>7224513.9999999991</v>
      </c>
      <c r="G140" s="56">
        <v>7312597</v>
      </c>
      <c r="H140" s="56">
        <v>7395471.0000000009</v>
      </c>
      <c r="I140" s="56">
        <v>7470435.0000000009</v>
      </c>
      <c r="J140" s="56">
        <v>7533775</v>
      </c>
      <c r="K140" s="56">
        <v>7587225</v>
      </c>
      <c r="L140" s="56">
        <v>7634742</v>
      </c>
      <c r="M140" s="56">
        <v>7680642.0000000019</v>
      </c>
      <c r="N140" s="56">
        <v>7733657</v>
      </c>
      <c r="O140" s="56">
        <v>7796962</v>
      </c>
      <c r="P140" s="56">
        <v>7865662.0000000009</v>
      </c>
      <c r="Q140" s="56">
        <v>7934416.9999999991</v>
      </c>
      <c r="R140" s="56">
        <v>8002821.0000000009</v>
      </c>
      <c r="S140" s="56">
        <v>8174042</v>
      </c>
      <c r="T140" s="56">
        <v>8332894</v>
      </c>
      <c r="U140" s="56">
        <v>8476640</v>
      </c>
      <c r="V140" s="56">
        <v>8608599</v>
      </c>
      <c r="W140" s="56">
        <v>8729572.9999999981</v>
      </c>
      <c r="X140" s="56">
        <v>8775992</v>
      </c>
      <c r="Y140" s="56">
        <v>8825993.0000000019</v>
      </c>
      <c r="Z140" s="56">
        <v>8874148.0000000019</v>
      </c>
      <c r="AA140" s="56">
        <v>8911754</v>
      </c>
      <c r="AB140" s="56">
        <v>8936946</v>
      </c>
      <c r="AC140" s="56">
        <v>8971325</v>
      </c>
      <c r="AD140" s="56">
        <v>8994598</v>
      </c>
      <c r="AE140" s="56">
        <v>9010508</v>
      </c>
      <c r="AF140" s="56">
        <v>9026036.9999999981</v>
      </c>
      <c r="AG140" s="56">
        <v>9044301.0000000019</v>
      </c>
    </row>
    <row r="141" spans="1:33" x14ac:dyDescent="0.3">
      <c r="A141" s="369" t="s">
        <v>42</v>
      </c>
      <c r="B141" s="370" t="s">
        <v>42</v>
      </c>
      <c r="C141" s="56">
        <v>19646122.000000011</v>
      </c>
      <c r="D141" s="56">
        <v>20101609.000000004</v>
      </c>
      <c r="E141" s="56">
        <v>20550880.000000011</v>
      </c>
      <c r="F141" s="56">
        <v>20989133.999999996</v>
      </c>
      <c r="G141" s="56">
        <v>21415772</v>
      </c>
      <c r="H141" s="56">
        <v>21838282</v>
      </c>
      <c r="I141" s="56">
        <v>22270630.000000004</v>
      </c>
      <c r="J141" s="56">
        <v>22705956</v>
      </c>
      <c r="K141" s="56">
        <v>23162486.999999993</v>
      </c>
      <c r="L141" s="56">
        <v>23645287</v>
      </c>
      <c r="M141" s="56">
        <v>24142420.999999996</v>
      </c>
      <c r="N141" s="56">
        <v>24588947.999999989</v>
      </c>
      <c r="O141" s="56">
        <v>25048552.000000007</v>
      </c>
      <c r="P141" s="56">
        <v>25505856.000000004</v>
      </c>
      <c r="Q141" s="56">
        <v>25954085</v>
      </c>
      <c r="R141" s="56">
        <v>26394913.000000004</v>
      </c>
      <c r="S141" s="56">
        <v>26802026.000000004</v>
      </c>
      <c r="T141" s="56">
        <v>27220298.000000004</v>
      </c>
      <c r="U141" s="56">
        <v>27643305.999999993</v>
      </c>
      <c r="V141" s="56">
        <v>28058769.999999996</v>
      </c>
      <c r="W141" s="56">
        <v>28460746.999999996</v>
      </c>
      <c r="X141" s="56">
        <v>28916949.000000004</v>
      </c>
      <c r="Y141" s="56">
        <v>29328373</v>
      </c>
      <c r="Z141" s="56">
        <v>29716649</v>
      </c>
      <c r="AA141" s="56">
        <v>30112939.000000007</v>
      </c>
      <c r="AB141" s="56">
        <v>30528327.999999996</v>
      </c>
      <c r="AC141" s="56">
        <v>30909058</v>
      </c>
      <c r="AD141" s="56">
        <v>31323176.999999993</v>
      </c>
      <c r="AE141" s="56">
        <v>31744081.999999993</v>
      </c>
      <c r="AF141" s="56">
        <v>32130492</v>
      </c>
      <c r="AG141" s="56">
        <v>32462658</v>
      </c>
    </row>
    <row r="142" spans="1:33" x14ac:dyDescent="0.3">
      <c r="A142" s="369" t="s">
        <v>329</v>
      </c>
      <c r="B142" s="370" t="s">
        <v>329</v>
      </c>
      <c r="C142" s="56">
        <v>10160089.000000002</v>
      </c>
      <c r="D142" s="56">
        <v>10153693.000000002</v>
      </c>
      <c r="E142" s="56">
        <v>10123716</v>
      </c>
      <c r="F142" s="56">
        <v>10075105.999999998</v>
      </c>
      <c r="G142" s="56">
        <v>10015165</v>
      </c>
      <c r="H142" s="56">
        <v>9947384.0000000019</v>
      </c>
      <c r="I142" s="56">
        <v>9871340</v>
      </c>
      <c r="J142" s="56">
        <v>9783393.9999999963</v>
      </c>
      <c r="K142" s="56">
        <v>9687612.0000000019</v>
      </c>
      <c r="L142" s="56">
        <v>9590517</v>
      </c>
      <c r="M142" s="56">
        <v>9496324</v>
      </c>
      <c r="N142" s="56">
        <v>9388488.0000000019</v>
      </c>
      <c r="O142" s="56">
        <v>9295203.0000000019</v>
      </c>
      <c r="P142" s="56">
        <v>9209947</v>
      </c>
      <c r="Q142" s="56">
        <v>9123320.0000000019</v>
      </c>
      <c r="R142" s="56">
        <v>9031525</v>
      </c>
      <c r="S142" s="56">
        <v>8964949</v>
      </c>
      <c r="T142" s="56">
        <v>8888635</v>
      </c>
      <c r="U142" s="56">
        <v>8807375</v>
      </c>
      <c r="V142" s="56">
        <v>8728774.0000000019</v>
      </c>
      <c r="W142" s="56">
        <v>8654902.9999999981</v>
      </c>
      <c r="X142" s="56">
        <v>8583248.9999999981</v>
      </c>
      <c r="Y142" s="56">
        <v>8518171</v>
      </c>
      <c r="Z142" s="56">
        <v>8453763.9999999981</v>
      </c>
      <c r="AA142" s="56">
        <v>8379998</v>
      </c>
      <c r="AB142" s="56">
        <v>8291424.9999999991</v>
      </c>
      <c r="AC142" s="56">
        <v>8200532.0000000009</v>
      </c>
      <c r="AD142" s="56">
        <v>8096179</v>
      </c>
      <c r="AE142" s="56">
        <v>7980589.0000000019</v>
      </c>
      <c r="AF142" s="56">
        <v>7858302.0000000009</v>
      </c>
      <c r="AG142" s="56">
        <v>7731839.0000000009</v>
      </c>
    </row>
    <row r="143" spans="1:33" x14ac:dyDescent="0.3">
      <c r="A143" s="369" t="s">
        <v>352</v>
      </c>
      <c r="B143" s="370" t="s">
        <v>352</v>
      </c>
      <c r="C143" s="56">
        <v>2621740.0000000005</v>
      </c>
      <c r="D143" s="56">
        <v>2624232.0000000005</v>
      </c>
      <c r="E143" s="56">
        <v>2623063</v>
      </c>
      <c r="F143" s="56">
        <v>2618956.9999999995</v>
      </c>
      <c r="G143" s="56">
        <v>2613674</v>
      </c>
      <c r="H143" s="56">
        <v>2608532.0000000005</v>
      </c>
      <c r="I143" s="56">
        <v>2594991.0000000005</v>
      </c>
      <c r="J143" s="56">
        <v>2582831</v>
      </c>
      <c r="K143" s="56">
        <v>2570756</v>
      </c>
      <c r="L143" s="56">
        <v>2556246.0000000009</v>
      </c>
      <c r="M143" s="56">
        <v>2537380.0000000005</v>
      </c>
      <c r="N143" s="56">
        <v>2513742.0000000005</v>
      </c>
      <c r="O143" s="56">
        <v>2485491.9999999995</v>
      </c>
      <c r="P143" s="56">
        <v>2453722.0000000005</v>
      </c>
      <c r="Q143" s="56">
        <v>2420606</v>
      </c>
      <c r="R143" s="56">
        <v>2387849</v>
      </c>
      <c r="S143" s="56">
        <v>2358785</v>
      </c>
      <c r="T143" s="56">
        <v>2330275.0000000005</v>
      </c>
      <c r="U143" s="56">
        <v>2301554</v>
      </c>
      <c r="V143" s="56">
        <v>2271107</v>
      </c>
      <c r="W143" s="56">
        <v>2237847</v>
      </c>
      <c r="X143" s="56">
        <v>2206324.0000000005</v>
      </c>
      <c r="Y143" s="56">
        <v>2172891</v>
      </c>
      <c r="Z143" s="56">
        <v>2137900</v>
      </c>
      <c r="AA143" s="56">
        <v>2102105</v>
      </c>
      <c r="AB143" s="56">
        <v>2066018</v>
      </c>
      <c r="AC143" s="56">
        <v>2031285.9999999995</v>
      </c>
      <c r="AD143" s="56">
        <v>1996922.9999999998</v>
      </c>
      <c r="AE143" s="56">
        <v>1963158.0000000002</v>
      </c>
      <c r="AF143" s="56">
        <v>1930294</v>
      </c>
      <c r="AG143" s="56">
        <v>1898499.9999999998</v>
      </c>
    </row>
    <row r="144" spans="1:33" x14ac:dyDescent="0.3">
      <c r="A144" s="369" t="s">
        <v>374</v>
      </c>
      <c r="B144" s="370" t="s">
        <v>374</v>
      </c>
      <c r="C144" s="56">
        <v>943966</v>
      </c>
      <c r="D144" s="56">
        <v>943014.99999999977</v>
      </c>
      <c r="E144" s="56">
        <v>940190.00000000012</v>
      </c>
      <c r="F144" s="56">
        <v>935871.00000000012</v>
      </c>
      <c r="G144" s="56">
        <v>931156</v>
      </c>
      <c r="H144" s="56">
        <v>926997.99999999988</v>
      </c>
      <c r="I144" s="56">
        <v>924113.99999999977</v>
      </c>
      <c r="J144" s="56">
        <v>921649.00000000023</v>
      </c>
      <c r="K144" s="56">
        <v>919125.00000000012</v>
      </c>
      <c r="L144" s="56">
        <v>915981.99999999977</v>
      </c>
      <c r="M144" s="56">
        <v>911872.99999999977</v>
      </c>
      <c r="N144" s="56">
        <v>897800.99999999988</v>
      </c>
      <c r="O144" s="56">
        <v>882573</v>
      </c>
      <c r="P144" s="56">
        <v>864622.99999999988</v>
      </c>
      <c r="Q144" s="56">
        <v>842090</v>
      </c>
      <c r="R144" s="56">
        <v>814398.99999999988</v>
      </c>
      <c r="S144" s="56">
        <v>774967.00000000035</v>
      </c>
      <c r="T144" s="56">
        <v>729265.00000000012</v>
      </c>
      <c r="U144" s="56">
        <v>681845.00000000012</v>
      </c>
      <c r="V144" s="56">
        <v>637859.99999999977</v>
      </c>
      <c r="W144" s="56">
        <v>600263.00000000012</v>
      </c>
      <c r="X144" s="56">
        <v>597941.99999999988</v>
      </c>
      <c r="Y144" s="56">
        <v>603153</v>
      </c>
      <c r="Z144" s="56">
        <v>613191</v>
      </c>
      <c r="AA144" s="56">
        <v>624207</v>
      </c>
      <c r="AB144" s="56">
        <v>633123</v>
      </c>
      <c r="AC144" s="56">
        <v>635287.00000000012</v>
      </c>
      <c r="AD144" s="56">
        <v>636309</v>
      </c>
      <c r="AE144" s="56">
        <v>635355.99999999988</v>
      </c>
      <c r="AF144" s="56">
        <v>631737.00000000012</v>
      </c>
      <c r="AG144" s="56">
        <v>625373</v>
      </c>
    </row>
    <row r="145" spans="1:33" x14ac:dyDescent="0.3">
      <c r="A145" s="369" t="s">
        <v>319</v>
      </c>
      <c r="B145" s="370" t="s">
        <v>319</v>
      </c>
      <c r="C145" s="56">
        <v>117439</v>
      </c>
      <c r="D145" s="56">
        <v>125502.99999999999</v>
      </c>
      <c r="E145" s="56">
        <v>134418</v>
      </c>
      <c r="F145" s="56">
        <v>144638.99999999991</v>
      </c>
      <c r="G145" s="56">
        <v>156694</v>
      </c>
      <c r="H145" s="56">
        <v>170901</v>
      </c>
      <c r="I145" s="56">
        <v>191950</v>
      </c>
      <c r="J145" s="56">
        <v>214598.00000000006</v>
      </c>
      <c r="K145" s="56">
        <v>238196.99999999997</v>
      </c>
      <c r="L145" s="56">
        <v>262160</v>
      </c>
      <c r="M145" s="56">
        <v>286063</v>
      </c>
      <c r="N145" s="56">
        <v>310525</v>
      </c>
      <c r="O145" s="56">
        <v>335562.99999999994</v>
      </c>
      <c r="P145" s="56">
        <v>359540.99999999988</v>
      </c>
      <c r="Q145" s="56">
        <v>381156.99999999994</v>
      </c>
      <c r="R145" s="56">
        <v>400039.99999999994</v>
      </c>
      <c r="S145" s="56">
        <v>413474.00000000006</v>
      </c>
      <c r="T145" s="56">
        <v>424169.99999999988</v>
      </c>
      <c r="U145" s="56">
        <v>433010.00000000006</v>
      </c>
      <c r="V145" s="56">
        <v>441303.99999999988</v>
      </c>
      <c r="W145" s="56">
        <v>450082.99999999994</v>
      </c>
      <c r="X145" s="56">
        <v>458902.00000000012</v>
      </c>
      <c r="Y145" s="56">
        <v>468568.00000000012</v>
      </c>
      <c r="Z145" s="56">
        <v>478773.99999999988</v>
      </c>
      <c r="AA145" s="56">
        <v>489301.99999999994</v>
      </c>
      <c r="AB145" s="56">
        <v>500178.00000000012</v>
      </c>
      <c r="AC145" s="56">
        <v>509793.00000000006</v>
      </c>
      <c r="AD145" s="56">
        <v>519574.99999999994</v>
      </c>
      <c r="AE145" s="56">
        <v>528972.00000000012</v>
      </c>
      <c r="AF145" s="56">
        <v>537325.99999999977</v>
      </c>
      <c r="AG145" s="56">
        <v>544326.99999999988</v>
      </c>
    </row>
    <row r="146" spans="1:33" x14ac:dyDescent="0.3">
      <c r="A146" s="369" t="s">
        <v>303</v>
      </c>
      <c r="B146" s="370" t="s">
        <v>303</v>
      </c>
      <c r="C146" s="56">
        <v>13705801</v>
      </c>
      <c r="D146" s="56">
        <v>13774796</v>
      </c>
      <c r="E146" s="56">
        <v>13791858.999999996</v>
      </c>
      <c r="F146" s="56">
        <v>13768230.000000002</v>
      </c>
      <c r="G146" s="56">
        <v>13724284</v>
      </c>
      <c r="H146" s="56">
        <v>13669751</v>
      </c>
      <c r="I146" s="56">
        <v>13596241.999999998</v>
      </c>
      <c r="J146" s="56">
        <v>13498038.000000002</v>
      </c>
      <c r="K146" s="56">
        <v>13388460.000000002</v>
      </c>
      <c r="L146" s="56">
        <v>13279027.000000002</v>
      </c>
      <c r="M146" s="56">
        <v>13174487.000000002</v>
      </c>
      <c r="N146" s="56">
        <v>13089916.000000002</v>
      </c>
      <c r="O146" s="56">
        <v>13016715.999999996</v>
      </c>
      <c r="P146" s="56">
        <v>12941896.999999996</v>
      </c>
      <c r="Q146" s="56">
        <v>12847270</v>
      </c>
      <c r="R146" s="56">
        <v>12722164.999999998</v>
      </c>
      <c r="S146" s="56">
        <v>12557502</v>
      </c>
      <c r="T146" s="56">
        <v>12372106.000000002</v>
      </c>
      <c r="U146" s="56">
        <v>12169355</v>
      </c>
      <c r="V146" s="56">
        <v>11956022.000000002</v>
      </c>
      <c r="W146" s="56">
        <v>11737860.999999998</v>
      </c>
      <c r="X146" s="56">
        <v>11542109.999999998</v>
      </c>
      <c r="Y146" s="56">
        <v>11335224.999999998</v>
      </c>
      <c r="Z146" s="56">
        <v>11126030.000000002</v>
      </c>
      <c r="AA146" s="56">
        <v>10925256</v>
      </c>
      <c r="AB146" s="56">
        <v>10737407.000000002</v>
      </c>
      <c r="AC146" s="56">
        <v>10566933</v>
      </c>
      <c r="AD146" s="56">
        <v>10414001.000000002</v>
      </c>
      <c r="AE146" s="56">
        <v>10269797</v>
      </c>
      <c r="AF146" s="56">
        <v>10119617.999999998</v>
      </c>
      <c r="AG146" s="56">
        <v>9954925</v>
      </c>
    </row>
    <row r="147" spans="1:33" x14ac:dyDescent="0.3">
      <c r="A147" s="369" t="s">
        <v>330</v>
      </c>
      <c r="B147" s="370" t="s">
        <v>330</v>
      </c>
      <c r="C147" s="56">
        <v>1157149</v>
      </c>
      <c r="D147" s="56">
        <v>1164088.0000000002</v>
      </c>
      <c r="E147" s="56">
        <v>1171814</v>
      </c>
      <c r="F147" s="56">
        <v>1179016</v>
      </c>
      <c r="G147" s="56">
        <v>1183728.9999999998</v>
      </c>
      <c r="H147" s="56">
        <v>1184691.9999999998</v>
      </c>
      <c r="I147" s="56">
        <v>1177438.9999999998</v>
      </c>
      <c r="J147" s="56">
        <v>1167515.9999999998</v>
      </c>
      <c r="K147" s="56">
        <v>1155812.0000000005</v>
      </c>
      <c r="L147" s="56">
        <v>1143769</v>
      </c>
      <c r="M147" s="56">
        <v>1132269.0000000002</v>
      </c>
      <c r="N147" s="56">
        <v>1122627</v>
      </c>
      <c r="O147" s="56">
        <v>1112699.9999999998</v>
      </c>
      <c r="P147" s="56">
        <v>1102341.0000000002</v>
      </c>
      <c r="Q147" s="56">
        <v>1091914</v>
      </c>
      <c r="R147" s="56">
        <v>1081999.9999999998</v>
      </c>
      <c r="S147" s="56">
        <v>1073384</v>
      </c>
      <c r="T147" s="56">
        <v>1065857</v>
      </c>
      <c r="U147" s="56">
        <v>1059123</v>
      </c>
      <c r="V147" s="56">
        <v>1052574</v>
      </c>
      <c r="W147" s="56">
        <v>1045765.0000000001</v>
      </c>
      <c r="X147" s="56">
        <v>1039221.0000000002</v>
      </c>
      <c r="Y147" s="56">
        <v>1032183</v>
      </c>
      <c r="Z147" s="56">
        <v>1024771.9999999999</v>
      </c>
      <c r="AA147" s="56">
        <v>1017078.0000000001</v>
      </c>
      <c r="AB147" s="56">
        <v>1009043.0000000001</v>
      </c>
      <c r="AC147" s="56">
        <v>1000433</v>
      </c>
      <c r="AD147" s="56">
        <v>991438</v>
      </c>
      <c r="AE147" s="56">
        <v>981728.99999999988</v>
      </c>
      <c r="AF147" s="56">
        <v>970864.00000000012</v>
      </c>
      <c r="AG147" s="56">
        <v>958568</v>
      </c>
    </row>
    <row r="148" spans="1:33" x14ac:dyDescent="0.3">
      <c r="A148" s="369" t="s">
        <v>289</v>
      </c>
      <c r="B148" s="370" t="s">
        <v>289</v>
      </c>
      <c r="C148" s="56">
        <v>204532.99999999997</v>
      </c>
      <c r="D148" s="56">
        <v>207456.99999999997</v>
      </c>
      <c r="E148" s="56">
        <v>209982.00000000003</v>
      </c>
      <c r="F148" s="56">
        <v>212226</v>
      </c>
      <c r="G148" s="56">
        <v>214320.00000000009</v>
      </c>
      <c r="H148" s="56">
        <v>216310</v>
      </c>
      <c r="I148" s="56">
        <v>217377.00000000003</v>
      </c>
      <c r="J148" s="56">
        <v>218623</v>
      </c>
      <c r="K148" s="56">
        <v>219885</v>
      </c>
      <c r="L148" s="56">
        <v>220774.99999999997</v>
      </c>
      <c r="M148" s="56">
        <v>221021.00000000003</v>
      </c>
      <c r="N148" s="56">
        <v>219944.00000000003</v>
      </c>
      <c r="O148" s="56">
        <v>218092.99999999997</v>
      </c>
      <c r="P148" s="56">
        <v>215906.00000000003</v>
      </c>
      <c r="Q148" s="56">
        <v>213878</v>
      </c>
      <c r="R148" s="56">
        <v>212212.99999999997</v>
      </c>
      <c r="S148" s="56">
        <v>211369.99999999997</v>
      </c>
      <c r="T148" s="56">
        <v>210780.99999999997</v>
      </c>
      <c r="U148" s="56">
        <v>210413.00000000003</v>
      </c>
      <c r="V148" s="56">
        <v>210114.00000000003</v>
      </c>
      <c r="W148" s="56">
        <v>209783.99999999997</v>
      </c>
      <c r="X148" s="56">
        <v>209865.99999999997</v>
      </c>
      <c r="Y148" s="56">
        <v>209938</v>
      </c>
      <c r="Z148" s="56">
        <v>209995.00000000006</v>
      </c>
      <c r="AA148" s="56">
        <v>210050</v>
      </c>
      <c r="AB148" s="56">
        <v>210074.00000000006</v>
      </c>
      <c r="AC148" s="56">
        <v>210141.99999999997</v>
      </c>
      <c r="AD148" s="56">
        <v>210174.00000000003</v>
      </c>
      <c r="AE148" s="56">
        <v>210210.99999999997</v>
      </c>
      <c r="AF148" s="56">
        <v>210280</v>
      </c>
      <c r="AG148" s="56">
        <v>210388.99999999994</v>
      </c>
    </row>
    <row r="149" spans="1:33" x14ac:dyDescent="0.3">
      <c r="A149" s="369" t="s">
        <v>208</v>
      </c>
      <c r="B149" s="370" t="s">
        <v>208</v>
      </c>
      <c r="C149" s="56">
        <v>5621164</v>
      </c>
      <c r="D149" s="56">
        <v>5575453.9999999991</v>
      </c>
      <c r="E149" s="56">
        <v>5545785.0000000009</v>
      </c>
      <c r="F149" s="56">
        <v>5521829</v>
      </c>
      <c r="G149" s="56">
        <v>5484402.9999999981</v>
      </c>
      <c r="H149" s="56">
        <v>5423515</v>
      </c>
      <c r="I149" s="56">
        <v>5333277</v>
      </c>
      <c r="J149" s="56">
        <v>5218329</v>
      </c>
      <c r="K149" s="56">
        <v>5093004.9999999981</v>
      </c>
      <c r="L149" s="56">
        <v>4978442.0000000028</v>
      </c>
      <c r="M149" s="56">
        <v>4885632.0000000009</v>
      </c>
      <c r="N149" s="56">
        <v>4825428.9999999991</v>
      </c>
      <c r="O149" s="56">
        <v>4788937.0000000009</v>
      </c>
      <c r="P149" s="56">
        <v>4763265.0000000019</v>
      </c>
      <c r="Q149" s="56">
        <v>4727499.0000000009</v>
      </c>
      <c r="R149" s="56">
        <v>4669559.9999999981</v>
      </c>
      <c r="S149" s="56">
        <v>4601353.0000000009</v>
      </c>
      <c r="T149" s="56">
        <v>4508956</v>
      </c>
      <c r="U149" s="56">
        <v>4403855</v>
      </c>
      <c r="V149" s="56">
        <v>4303663</v>
      </c>
      <c r="W149" s="56">
        <v>4218071.9999999991</v>
      </c>
      <c r="X149" s="56">
        <v>4151617</v>
      </c>
      <c r="Y149" s="56">
        <v>4100724</v>
      </c>
      <c r="Z149" s="56">
        <v>4058497.0000000005</v>
      </c>
      <c r="AA149" s="56">
        <v>4013493.0000000014</v>
      </c>
      <c r="AB149" s="56">
        <v>3959423.0000000005</v>
      </c>
      <c r="AC149" s="56">
        <v>3901933.9999999995</v>
      </c>
      <c r="AD149" s="56">
        <v>3836092</v>
      </c>
      <c r="AE149" s="56">
        <v>3767620.9999999991</v>
      </c>
      <c r="AF149" s="56">
        <v>3706305.0000000005</v>
      </c>
      <c r="AG149" s="56">
        <v>3657573.0000000009</v>
      </c>
    </row>
    <row r="150" spans="1:33" x14ac:dyDescent="0.3">
      <c r="A150" s="369" t="s">
        <v>331</v>
      </c>
      <c r="B150" s="370" t="s">
        <v>331</v>
      </c>
      <c r="C150" s="56">
        <v>39456571</v>
      </c>
      <c r="D150" s="56">
        <v>39551103.999999993</v>
      </c>
      <c r="E150" s="56">
        <v>39665407.999999993</v>
      </c>
      <c r="F150" s="56">
        <v>39759268</v>
      </c>
      <c r="G150" s="56">
        <v>39766823.000000007</v>
      </c>
      <c r="H150" s="56">
        <v>39658083.999999993</v>
      </c>
      <c r="I150" s="56">
        <v>39351982.000000007</v>
      </c>
      <c r="J150" s="56">
        <v>38987824</v>
      </c>
      <c r="K150" s="56">
        <v>38580081.999999993</v>
      </c>
      <c r="L150" s="56">
        <v>38145554.999999993</v>
      </c>
      <c r="M150" s="56">
        <v>37684060.000000015</v>
      </c>
      <c r="N150" s="56">
        <v>37163629.000000015</v>
      </c>
      <c r="O150" s="56">
        <v>36592710.999999993</v>
      </c>
      <c r="P150" s="56">
        <v>36016054</v>
      </c>
      <c r="Q150" s="56">
        <v>35500024.000000007</v>
      </c>
      <c r="R150" s="56">
        <v>35083234.000000007</v>
      </c>
      <c r="S150" s="56">
        <v>34731208.999999985</v>
      </c>
      <c r="T150" s="56">
        <v>34489928</v>
      </c>
      <c r="U150" s="56">
        <v>34319410.000000007</v>
      </c>
      <c r="V150" s="56">
        <v>34152197</v>
      </c>
      <c r="W150" s="56">
        <v>33948174.000000007</v>
      </c>
      <c r="X150" s="56">
        <v>33732145</v>
      </c>
      <c r="Y150" s="56">
        <v>33487252.999999996</v>
      </c>
      <c r="Z150" s="56">
        <v>33230373.999999989</v>
      </c>
      <c r="AA150" s="56">
        <v>32988639.000000004</v>
      </c>
      <c r="AB150" s="56">
        <v>32774053</v>
      </c>
      <c r="AC150" s="56">
        <v>32594020.000000004</v>
      </c>
      <c r="AD150" s="56">
        <v>32428239</v>
      </c>
      <c r="AE150" s="56">
        <v>32264664.000000004</v>
      </c>
      <c r="AF150" s="56">
        <v>32087027.999999996</v>
      </c>
      <c r="AG150" s="56">
        <v>31884535.000000007</v>
      </c>
    </row>
    <row r="151" spans="1:33" x14ac:dyDescent="0.3">
      <c r="A151" s="369" t="s">
        <v>43</v>
      </c>
      <c r="B151" s="370" t="s">
        <v>43</v>
      </c>
      <c r="C151" s="56">
        <v>1899129.0000000002</v>
      </c>
      <c r="D151" s="56">
        <v>1984426.9999999998</v>
      </c>
      <c r="E151" s="56">
        <v>2046317.0000000007</v>
      </c>
      <c r="F151" s="56">
        <v>2095567.9999999998</v>
      </c>
      <c r="G151" s="56">
        <v>2144413</v>
      </c>
      <c r="H151" s="56">
        <v>2200033</v>
      </c>
      <c r="I151" s="56">
        <v>2258951.0000000005</v>
      </c>
      <c r="J151" s="56">
        <v>2322683.0000000009</v>
      </c>
      <c r="K151" s="56">
        <v>2389075.0000000005</v>
      </c>
      <c r="L151" s="56">
        <v>2455842.0000000005</v>
      </c>
      <c r="M151" s="56">
        <v>2521875.0000000005</v>
      </c>
      <c r="N151" s="56">
        <v>2581482.0000000005</v>
      </c>
      <c r="O151" s="56">
        <v>2642587</v>
      </c>
      <c r="P151" s="56">
        <v>2706506.9999999995</v>
      </c>
      <c r="Q151" s="56">
        <v>2774529</v>
      </c>
      <c r="R151" s="56">
        <v>2847547.0000000005</v>
      </c>
      <c r="S151" s="56">
        <v>2932670</v>
      </c>
      <c r="T151" s="56">
        <v>3020272.0000000009</v>
      </c>
      <c r="U151" s="56">
        <v>3110553.9999999995</v>
      </c>
      <c r="V151" s="56">
        <v>3204027.9999999991</v>
      </c>
      <c r="W151" s="56">
        <v>3300357</v>
      </c>
      <c r="X151" s="56">
        <v>3392668</v>
      </c>
      <c r="Y151" s="56">
        <v>3490167.0000000009</v>
      </c>
      <c r="Z151" s="56">
        <v>3590417.0000000005</v>
      </c>
      <c r="AA151" s="56">
        <v>3689751.9999999991</v>
      </c>
      <c r="AB151" s="56">
        <v>3786509.9999999995</v>
      </c>
      <c r="AC151" s="56">
        <v>3886736.9999999991</v>
      </c>
      <c r="AD151" s="56">
        <v>3982742</v>
      </c>
      <c r="AE151" s="56">
        <v>4075861.9999999991</v>
      </c>
      <c r="AF151" s="56">
        <v>4168500.9999999991</v>
      </c>
      <c r="AG151" s="56">
        <v>4261594</v>
      </c>
    </row>
    <row r="152" spans="1:33" x14ac:dyDescent="0.3">
      <c r="A152" s="369" t="s">
        <v>375</v>
      </c>
      <c r="B152" s="370" t="s">
        <v>375</v>
      </c>
      <c r="C152" s="56">
        <v>41289.999999999993</v>
      </c>
      <c r="D152" s="56">
        <v>42295.000000000015</v>
      </c>
      <c r="E152" s="56">
        <v>43315.999999999993</v>
      </c>
      <c r="F152" s="56">
        <v>44361.000000000007</v>
      </c>
      <c r="G152" s="56">
        <v>45414</v>
      </c>
      <c r="H152" s="56">
        <v>46470</v>
      </c>
      <c r="I152" s="56">
        <v>47210.000000000015</v>
      </c>
      <c r="J152" s="56">
        <v>47871.000000000007</v>
      </c>
      <c r="K152" s="56">
        <v>48448.999999999993</v>
      </c>
      <c r="L152" s="56">
        <v>48897</v>
      </c>
      <c r="M152" s="56">
        <v>49176</v>
      </c>
      <c r="N152" s="56">
        <v>49785.000000000007</v>
      </c>
      <c r="O152" s="56">
        <v>50226.000000000007</v>
      </c>
      <c r="P152" s="56">
        <v>50530</v>
      </c>
      <c r="Q152" s="56">
        <v>50756.000000000007</v>
      </c>
      <c r="R152" s="56">
        <v>50925.000000000015</v>
      </c>
      <c r="S152" s="56">
        <v>50985</v>
      </c>
      <c r="T152" s="56">
        <v>51019.000000000007</v>
      </c>
      <c r="U152" s="56">
        <v>51001</v>
      </c>
      <c r="V152" s="56">
        <v>50917</v>
      </c>
      <c r="W152" s="56">
        <v>50761</v>
      </c>
      <c r="X152" s="56">
        <v>50567</v>
      </c>
      <c r="Y152" s="56">
        <v>50303.999999999993</v>
      </c>
      <c r="Z152" s="56">
        <v>50005</v>
      </c>
      <c r="AA152" s="56">
        <v>49696.999999999993</v>
      </c>
      <c r="AB152" s="56">
        <v>49405.000000000007</v>
      </c>
      <c r="AC152" s="56">
        <v>49153.000000000015</v>
      </c>
      <c r="AD152" s="56">
        <v>48914.000000000007</v>
      </c>
      <c r="AE152" s="56">
        <v>48678.000000000007</v>
      </c>
      <c r="AF152" s="56">
        <v>48408</v>
      </c>
      <c r="AG152" s="56">
        <v>48088.000000000007</v>
      </c>
    </row>
    <row r="153" spans="1:33" x14ac:dyDescent="0.3">
      <c r="A153" s="369" t="s">
        <v>376</v>
      </c>
      <c r="B153" s="370" t="s">
        <v>376</v>
      </c>
      <c r="C153" s="56">
        <v>28005.999999999996</v>
      </c>
      <c r="D153" s="56">
        <v>28275</v>
      </c>
      <c r="E153" s="56">
        <v>28539</v>
      </c>
      <c r="F153" s="56">
        <v>28774</v>
      </c>
      <c r="G153" s="56">
        <v>28948.999999999993</v>
      </c>
      <c r="H153" s="56">
        <v>29049</v>
      </c>
      <c r="I153" s="56">
        <v>28984.000000000004</v>
      </c>
      <c r="J153" s="56">
        <v>28835.000000000004</v>
      </c>
      <c r="K153" s="56">
        <v>28642.000000000007</v>
      </c>
      <c r="L153" s="56">
        <v>28439</v>
      </c>
      <c r="M153" s="56">
        <v>28243.000000000004</v>
      </c>
      <c r="N153" s="56">
        <v>28005.000000000007</v>
      </c>
      <c r="O153" s="56">
        <v>27807.999999999996</v>
      </c>
      <c r="P153" s="56">
        <v>27666.000000000004</v>
      </c>
      <c r="Q153" s="56">
        <v>27575</v>
      </c>
      <c r="R153" s="56">
        <v>27515.000000000004</v>
      </c>
      <c r="S153" s="56">
        <v>27570.000000000007</v>
      </c>
      <c r="T153" s="56">
        <v>27671.000000000004</v>
      </c>
      <c r="U153" s="56">
        <v>27782.000000000004</v>
      </c>
      <c r="V153" s="56">
        <v>27884</v>
      </c>
      <c r="W153" s="56">
        <v>27950</v>
      </c>
      <c r="X153" s="56">
        <v>28040.000000000004</v>
      </c>
      <c r="Y153" s="56">
        <v>28086.000000000007</v>
      </c>
      <c r="Z153" s="56">
        <v>28098.000000000004</v>
      </c>
      <c r="AA153" s="56">
        <v>28105.999999999993</v>
      </c>
      <c r="AB153" s="56">
        <v>28115.999999999996</v>
      </c>
      <c r="AC153" s="56">
        <v>28101.999999999993</v>
      </c>
      <c r="AD153" s="56">
        <v>28087</v>
      </c>
      <c r="AE153" s="56">
        <v>28069.000000000007</v>
      </c>
      <c r="AF153" s="56">
        <v>28030.000000000004</v>
      </c>
      <c r="AG153" s="56">
        <v>27948.000000000004</v>
      </c>
    </row>
    <row r="154" spans="1:33" x14ac:dyDescent="0.3">
      <c r="A154" s="369" t="s">
        <v>406</v>
      </c>
      <c r="B154" s="370" t="s">
        <v>406</v>
      </c>
      <c r="C154" s="56">
        <v>38991</v>
      </c>
      <c r="D154" s="56">
        <v>39407</v>
      </c>
      <c r="E154" s="56">
        <v>39730.000000000015</v>
      </c>
      <c r="F154" s="56">
        <v>39983</v>
      </c>
      <c r="G154" s="56">
        <v>40218.999999999993</v>
      </c>
      <c r="H154" s="56">
        <v>40460.999999999993</v>
      </c>
      <c r="I154" s="56">
        <v>40851</v>
      </c>
      <c r="J154" s="56">
        <v>41263.999999999993</v>
      </c>
      <c r="K154" s="56">
        <v>41674.000000000007</v>
      </c>
      <c r="L154" s="56">
        <v>42002</v>
      </c>
      <c r="M154" s="56">
        <v>42230.000000000015</v>
      </c>
      <c r="N154" s="56">
        <v>42600.000000000015</v>
      </c>
      <c r="O154" s="56">
        <v>42864.999999999985</v>
      </c>
      <c r="P154" s="56">
        <v>42973.999999999993</v>
      </c>
      <c r="Q154" s="56">
        <v>42923</v>
      </c>
      <c r="R154" s="56">
        <v>42746.000000000007</v>
      </c>
      <c r="S154" s="56">
        <v>42811.999999999985</v>
      </c>
      <c r="T154" s="56">
        <v>42809.999999999985</v>
      </c>
      <c r="U154" s="56">
        <v>42889.999999999993</v>
      </c>
      <c r="V154" s="56">
        <v>43200.000000000007</v>
      </c>
      <c r="W154" s="56">
        <v>43748.000000000015</v>
      </c>
      <c r="X154" s="56">
        <v>44034</v>
      </c>
      <c r="Y154" s="56">
        <v>44641.000000000015</v>
      </c>
      <c r="Z154" s="56">
        <v>45412.000000000015</v>
      </c>
      <c r="AA154" s="56">
        <v>46167.999999999985</v>
      </c>
      <c r="AB154" s="56">
        <v>46811.000000000015</v>
      </c>
      <c r="AC154" s="56">
        <v>47703.999999999993</v>
      </c>
      <c r="AD154" s="56">
        <v>48364.999999999993</v>
      </c>
      <c r="AE154" s="56">
        <v>48923.999999999978</v>
      </c>
      <c r="AF154" s="56">
        <v>49579.999999999993</v>
      </c>
      <c r="AG154" s="56">
        <v>50427</v>
      </c>
    </row>
    <row r="155" spans="1:33" x14ac:dyDescent="0.3">
      <c r="A155" s="369" t="s">
        <v>83</v>
      </c>
      <c r="B155" s="370" t="s">
        <v>83</v>
      </c>
      <c r="C155" s="56">
        <v>33742.999999999993</v>
      </c>
      <c r="D155" s="56">
        <v>34544.999999999985</v>
      </c>
      <c r="E155" s="56">
        <v>35353.999999999993</v>
      </c>
      <c r="F155" s="56">
        <v>36145.000000000007</v>
      </c>
      <c r="G155" s="56">
        <v>36925.999999999985</v>
      </c>
      <c r="H155" s="56">
        <v>37708.999999999985</v>
      </c>
      <c r="I155" s="56">
        <v>38700</v>
      </c>
      <c r="J155" s="56">
        <v>39711.999999999993</v>
      </c>
      <c r="K155" s="56">
        <v>40719</v>
      </c>
      <c r="L155" s="56">
        <v>41665.000000000007</v>
      </c>
      <c r="M155" s="56">
        <v>42545</v>
      </c>
      <c r="N155" s="56">
        <v>43377.000000000007</v>
      </c>
      <c r="O155" s="56">
        <v>44128.999999999993</v>
      </c>
      <c r="P155" s="56">
        <v>44846.999999999985</v>
      </c>
      <c r="Q155" s="56">
        <v>45602</v>
      </c>
      <c r="R155" s="56">
        <v>46417.000000000007</v>
      </c>
      <c r="S155" s="56">
        <v>47312</v>
      </c>
      <c r="T155" s="56">
        <v>48250.000000000007</v>
      </c>
      <c r="U155" s="56">
        <v>49270.999999999993</v>
      </c>
      <c r="V155" s="56">
        <v>50373.000000000015</v>
      </c>
      <c r="W155" s="56">
        <v>51570.000000000007</v>
      </c>
      <c r="X155" s="56">
        <v>52942</v>
      </c>
      <c r="Y155" s="56">
        <v>54397.999999999993</v>
      </c>
      <c r="Z155" s="56">
        <v>55910.000000000007</v>
      </c>
      <c r="AA155" s="56">
        <v>57412.999999999993</v>
      </c>
      <c r="AB155" s="56">
        <v>58880.000000000015</v>
      </c>
      <c r="AC155" s="56">
        <v>60396</v>
      </c>
      <c r="AD155" s="56">
        <v>61870.000000000007</v>
      </c>
      <c r="AE155" s="56">
        <v>63312.999999999993</v>
      </c>
      <c r="AF155" s="56">
        <v>64753.999999999993</v>
      </c>
      <c r="AG155" s="56">
        <v>66207.000000000015</v>
      </c>
    </row>
    <row r="156" spans="1:33" x14ac:dyDescent="0.3">
      <c r="A156" s="369" t="s">
        <v>320</v>
      </c>
      <c r="B156" s="370" t="s">
        <v>320</v>
      </c>
      <c r="C156" s="56">
        <v>4682487.9999999991</v>
      </c>
      <c r="D156" s="56">
        <v>4858962</v>
      </c>
      <c r="E156" s="56">
        <v>5032364.0000000019</v>
      </c>
      <c r="F156" s="56">
        <v>5207509</v>
      </c>
      <c r="G156" s="56">
        <v>5391751.0000000009</v>
      </c>
      <c r="H156" s="56">
        <v>5589943.9999999981</v>
      </c>
      <c r="I156" s="56">
        <v>5818868.0000000009</v>
      </c>
      <c r="J156" s="56">
        <v>6061838.0000000019</v>
      </c>
      <c r="K156" s="56">
        <v>6312951</v>
      </c>
      <c r="L156" s="56">
        <v>6564415.0000000009</v>
      </c>
      <c r="M156" s="56">
        <v>6812560</v>
      </c>
      <c r="N156" s="56">
        <v>7106188.9999999963</v>
      </c>
      <c r="O156" s="56">
        <v>7389593</v>
      </c>
      <c r="P156" s="56">
        <v>7654870.0000000019</v>
      </c>
      <c r="Q156" s="56">
        <v>7891903</v>
      </c>
      <c r="R156" s="56">
        <v>8091991.9999999963</v>
      </c>
      <c r="S156" s="56">
        <v>8220625.9999999981</v>
      </c>
      <c r="T156" s="56">
        <v>8322456.0000000019</v>
      </c>
      <c r="U156" s="56">
        <v>8403859</v>
      </c>
      <c r="V156" s="56">
        <v>8477504</v>
      </c>
      <c r="W156" s="56">
        <v>8555576</v>
      </c>
      <c r="X156" s="56">
        <v>8628629</v>
      </c>
      <c r="Y156" s="56">
        <v>8706918</v>
      </c>
      <c r="Z156" s="56">
        <v>8788315.9999999981</v>
      </c>
      <c r="AA156" s="56">
        <v>8867351</v>
      </c>
      <c r="AB156" s="56">
        <v>8939194</v>
      </c>
      <c r="AC156" s="56">
        <v>8997946</v>
      </c>
      <c r="AD156" s="56">
        <v>9049691</v>
      </c>
      <c r="AE156" s="56">
        <v>9096457</v>
      </c>
      <c r="AF156" s="56">
        <v>9141264</v>
      </c>
      <c r="AG156" s="56">
        <v>9186164.0000000019</v>
      </c>
    </row>
    <row r="157" spans="1:33" x14ac:dyDescent="0.3">
      <c r="A157" s="369" t="s">
        <v>44</v>
      </c>
      <c r="B157" s="370" t="s">
        <v>44</v>
      </c>
      <c r="C157" s="56">
        <v>2307096.9999999995</v>
      </c>
      <c r="D157" s="56">
        <v>2379472</v>
      </c>
      <c r="E157" s="56">
        <v>2453998.0000000005</v>
      </c>
      <c r="F157" s="56">
        <v>2530621</v>
      </c>
      <c r="G157" s="56">
        <v>2609363.0000000005</v>
      </c>
      <c r="H157" s="56">
        <v>2690146</v>
      </c>
      <c r="I157" s="56">
        <v>2770031.0000000005</v>
      </c>
      <c r="J157" s="56">
        <v>2851567.0000000005</v>
      </c>
      <c r="K157" s="56">
        <v>2935023.0000000009</v>
      </c>
      <c r="L157" s="56">
        <v>3020893.9999999995</v>
      </c>
      <c r="M157" s="56">
        <v>3109349</v>
      </c>
      <c r="N157" s="56">
        <v>3195713.9999999991</v>
      </c>
      <c r="O157" s="56">
        <v>3285914.0000000005</v>
      </c>
      <c r="P157" s="56">
        <v>3379254.9999999995</v>
      </c>
      <c r="Q157" s="56">
        <v>3475057.0000000009</v>
      </c>
      <c r="R157" s="56">
        <v>3573263.0000000005</v>
      </c>
      <c r="S157" s="56">
        <v>3674676</v>
      </c>
      <c r="T157" s="56">
        <v>3780022.0000000009</v>
      </c>
      <c r="U157" s="56">
        <v>3889064.0000000005</v>
      </c>
      <c r="V157" s="56">
        <v>4001599.9999999995</v>
      </c>
      <c r="W157" s="56">
        <v>4117610.0000000005</v>
      </c>
      <c r="X157" s="56">
        <v>4239912</v>
      </c>
      <c r="Y157" s="56">
        <v>4363895.9999999991</v>
      </c>
      <c r="Z157" s="56">
        <v>4490843.9999999991</v>
      </c>
      <c r="AA157" s="56">
        <v>4622277</v>
      </c>
      <c r="AB157" s="56">
        <v>4758566.9999999981</v>
      </c>
      <c r="AC157" s="56">
        <v>4896943.9999999991</v>
      </c>
      <c r="AD157" s="56">
        <v>5040284</v>
      </c>
      <c r="AE157" s="56">
        <v>5186869.0000000019</v>
      </c>
      <c r="AF157" s="56">
        <v>5333875.9999999981</v>
      </c>
      <c r="AG157" s="56">
        <v>5479628.9999999991</v>
      </c>
    </row>
    <row r="158" spans="1:33" x14ac:dyDescent="0.3">
      <c r="A158" s="369" t="s">
        <v>353</v>
      </c>
      <c r="B158" s="370" t="s">
        <v>353</v>
      </c>
      <c r="C158" s="56">
        <v>2322328.0000000005</v>
      </c>
      <c r="D158" s="56">
        <v>2292257</v>
      </c>
      <c r="E158" s="56">
        <v>2264317.9999999995</v>
      </c>
      <c r="F158" s="56">
        <v>2239226.9999999995</v>
      </c>
      <c r="G158" s="56">
        <v>2217078</v>
      </c>
      <c r="H158" s="56">
        <v>2197555.0000000009</v>
      </c>
      <c r="I158" s="56">
        <v>2176577</v>
      </c>
      <c r="J158" s="56">
        <v>2158695.9999999995</v>
      </c>
      <c r="K158" s="56">
        <v>2142763.9999999995</v>
      </c>
      <c r="L158" s="56">
        <v>2127306.0000000005</v>
      </c>
      <c r="M158" s="56">
        <v>2111596</v>
      </c>
      <c r="N158" s="56">
        <v>2098374</v>
      </c>
      <c r="O158" s="56">
        <v>2084910.9999999995</v>
      </c>
      <c r="P158" s="56">
        <v>2070904</v>
      </c>
      <c r="Q158" s="56">
        <v>2056100</v>
      </c>
      <c r="R158" s="56">
        <v>2040235</v>
      </c>
      <c r="S158" s="56">
        <v>2033084</v>
      </c>
      <c r="T158" s="56">
        <v>2025054</v>
      </c>
      <c r="U158" s="56">
        <v>2016053</v>
      </c>
      <c r="V158" s="56">
        <v>2005971.0000000002</v>
      </c>
      <c r="W158" s="56">
        <v>1994569</v>
      </c>
      <c r="X158" s="56">
        <v>1977083.9999999995</v>
      </c>
      <c r="Y158" s="56">
        <v>1958728.0000000002</v>
      </c>
      <c r="Z158" s="56">
        <v>1939288</v>
      </c>
      <c r="AA158" s="56">
        <v>1918420</v>
      </c>
      <c r="AB158" s="56">
        <v>1896109.0000000005</v>
      </c>
      <c r="AC158" s="56">
        <v>1872999.9999999998</v>
      </c>
      <c r="AD158" s="56">
        <v>1848376</v>
      </c>
      <c r="AE158" s="56">
        <v>1822943.9999999998</v>
      </c>
      <c r="AF158" s="56">
        <v>1797848</v>
      </c>
      <c r="AG158" s="56">
        <v>1773667.0000000002</v>
      </c>
    </row>
    <row r="159" spans="1:33" x14ac:dyDescent="0.3">
      <c r="A159" s="369" t="s">
        <v>290</v>
      </c>
      <c r="B159" s="370" t="s">
        <v>290</v>
      </c>
      <c r="C159" s="56">
        <v>22467.000000000007</v>
      </c>
      <c r="D159" s="56">
        <v>23298</v>
      </c>
      <c r="E159" s="56">
        <v>24072.000000000007</v>
      </c>
      <c r="F159" s="56">
        <v>24739</v>
      </c>
      <c r="G159" s="56">
        <v>25273.999999999996</v>
      </c>
      <c r="H159" s="56">
        <v>25660.000000000007</v>
      </c>
      <c r="I159" s="56">
        <v>25500</v>
      </c>
      <c r="J159" s="56">
        <v>25247.999999999993</v>
      </c>
      <c r="K159" s="56">
        <v>24957</v>
      </c>
      <c r="L159" s="56">
        <v>24679.000000000007</v>
      </c>
      <c r="M159" s="56">
        <v>24455.000000000004</v>
      </c>
      <c r="N159" s="56">
        <v>24294.999999999996</v>
      </c>
      <c r="O159" s="56">
        <v>24193</v>
      </c>
      <c r="P159" s="56">
        <v>24102.999999999996</v>
      </c>
      <c r="Q159" s="56">
        <v>24000.999999999996</v>
      </c>
      <c r="R159" s="56">
        <v>23867.999999999996</v>
      </c>
      <c r="S159" s="56">
        <v>23738.999999999993</v>
      </c>
      <c r="T159" s="56">
        <v>23579.999999999996</v>
      </c>
      <c r="U159" s="56">
        <v>23416</v>
      </c>
      <c r="V159" s="56">
        <v>23254.999999999996</v>
      </c>
      <c r="W159" s="56">
        <v>23112</v>
      </c>
      <c r="X159" s="56">
        <v>22990</v>
      </c>
      <c r="Y159" s="56">
        <v>22888.000000000004</v>
      </c>
      <c r="Z159" s="56">
        <v>22803.000000000007</v>
      </c>
      <c r="AA159" s="56">
        <v>22727.999999999993</v>
      </c>
      <c r="AB159" s="56">
        <v>22669.999999999996</v>
      </c>
      <c r="AC159" s="56">
        <v>22642.999999999996</v>
      </c>
      <c r="AD159" s="56">
        <v>22622.000000000004</v>
      </c>
      <c r="AE159" s="56">
        <v>22608.000000000007</v>
      </c>
      <c r="AF159" s="56">
        <v>22612</v>
      </c>
      <c r="AG159" s="56">
        <v>22619.999999999996</v>
      </c>
    </row>
    <row r="160" spans="1:33" x14ac:dyDescent="0.3">
      <c r="A160" s="369" t="s">
        <v>45</v>
      </c>
      <c r="B160" s="370" t="s">
        <v>45</v>
      </c>
      <c r="C160" s="56">
        <v>1036248.9999999998</v>
      </c>
      <c r="D160" s="56">
        <v>1077024</v>
      </c>
      <c r="E160" s="56">
        <v>1128220</v>
      </c>
      <c r="F160" s="56">
        <v>1185321.0000000005</v>
      </c>
      <c r="G160" s="56">
        <v>1242944.9999999998</v>
      </c>
      <c r="H160" s="56">
        <v>1297700.9999999998</v>
      </c>
      <c r="I160" s="56">
        <v>1343041.9999999998</v>
      </c>
      <c r="J160" s="56">
        <v>1384360.0000000005</v>
      </c>
      <c r="K160" s="56">
        <v>1423461.9999999998</v>
      </c>
      <c r="L160" s="56">
        <v>1462948</v>
      </c>
      <c r="M160" s="56">
        <v>1504556.0000000002</v>
      </c>
      <c r="N160" s="56">
        <v>1544211.0000000002</v>
      </c>
      <c r="O160" s="56">
        <v>1586245</v>
      </c>
      <c r="P160" s="56">
        <v>1630245.9999999998</v>
      </c>
      <c r="Q160" s="56">
        <v>1675566.0000000002</v>
      </c>
      <c r="R160" s="56">
        <v>1721899.9999999998</v>
      </c>
      <c r="S160" s="56">
        <v>1768429.0000000002</v>
      </c>
      <c r="T160" s="56">
        <v>1815755.9999999998</v>
      </c>
      <c r="U160" s="56">
        <v>1864230.9999999993</v>
      </c>
      <c r="V160" s="56">
        <v>1914451.9999999998</v>
      </c>
      <c r="W160" s="56">
        <v>1966600</v>
      </c>
      <c r="X160" s="56">
        <v>2017640</v>
      </c>
      <c r="Y160" s="56">
        <v>2070964.0000000009</v>
      </c>
      <c r="Z160" s="56">
        <v>2125890.0000000005</v>
      </c>
      <c r="AA160" s="56">
        <v>2181328</v>
      </c>
      <c r="AB160" s="56">
        <v>2236642.9999999995</v>
      </c>
      <c r="AC160" s="56">
        <v>2290904</v>
      </c>
      <c r="AD160" s="56">
        <v>2345100.0000000005</v>
      </c>
      <c r="AE160" s="56">
        <v>2399301</v>
      </c>
      <c r="AF160" s="56">
        <v>2453761.9999999995</v>
      </c>
      <c r="AG160" s="56">
        <v>2508551.9999999995</v>
      </c>
    </row>
    <row r="161" spans="1:33" x14ac:dyDescent="0.3">
      <c r="A161" s="369" t="s">
        <v>311</v>
      </c>
      <c r="B161" s="370" t="s">
        <v>311</v>
      </c>
      <c r="C161" s="56">
        <v>1176498</v>
      </c>
      <c r="D161" s="56">
        <v>1184932</v>
      </c>
      <c r="E161" s="56">
        <v>1189171.9999999998</v>
      </c>
      <c r="F161" s="56">
        <v>1193900.9999999998</v>
      </c>
      <c r="G161" s="56">
        <v>1203938.9999999998</v>
      </c>
      <c r="H161" s="56">
        <v>1221317.0000000002</v>
      </c>
      <c r="I161" s="56">
        <v>1248970</v>
      </c>
      <c r="J161" s="56">
        <v>1284145.9999999998</v>
      </c>
      <c r="K161" s="56">
        <v>1324255.0000000002</v>
      </c>
      <c r="L161" s="56">
        <v>1363782.0000000002</v>
      </c>
      <c r="M161" s="56">
        <v>1397536.9999999998</v>
      </c>
      <c r="N161" s="56">
        <v>1414555.0000000002</v>
      </c>
      <c r="O161" s="56">
        <v>1425713</v>
      </c>
      <c r="P161" s="56">
        <v>1433204.0000000002</v>
      </c>
      <c r="Q161" s="56">
        <v>1438638.0000000002</v>
      </c>
      <c r="R161" s="56">
        <v>1442202.9999999995</v>
      </c>
      <c r="S161" s="56">
        <v>1439299.0000000002</v>
      </c>
      <c r="T161" s="56">
        <v>1430580.9999999995</v>
      </c>
      <c r="U161" s="56">
        <v>1418225.0000000005</v>
      </c>
      <c r="V161" s="56">
        <v>1404877.9999999998</v>
      </c>
      <c r="W161" s="56">
        <v>1391809.0000000002</v>
      </c>
      <c r="X161" s="56">
        <v>1376997</v>
      </c>
      <c r="Y161" s="56">
        <v>1363946</v>
      </c>
      <c r="Z161" s="56">
        <v>1351533</v>
      </c>
      <c r="AA161" s="56">
        <v>1338048.0000000002</v>
      </c>
      <c r="AB161" s="56">
        <v>1322761</v>
      </c>
      <c r="AC161" s="56">
        <v>1308821.0000000002</v>
      </c>
      <c r="AD161" s="56">
        <v>1293379.0000000002</v>
      </c>
      <c r="AE161" s="56">
        <v>1277207.9999999998</v>
      </c>
      <c r="AF161" s="56">
        <v>1261557</v>
      </c>
      <c r="AG161" s="56">
        <v>1246965.0000000002</v>
      </c>
    </row>
    <row r="162" spans="1:33" x14ac:dyDescent="0.3">
      <c r="A162" s="369" t="s">
        <v>332</v>
      </c>
      <c r="B162" s="370" t="s">
        <v>332</v>
      </c>
      <c r="C162" s="56">
        <v>1451325.0000000002</v>
      </c>
      <c r="D162" s="56">
        <v>1454210</v>
      </c>
      <c r="E162" s="56">
        <v>1453672.9999999998</v>
      </c>
      <c r="F162" s="56">
        <v>1450645.0000000002</v>
      </c>
      <c r="G162" s="56">
        <v>1446455.9999999995</v>
      </c>
      <c r="H162" s="56">
        <v>1441761.0000000002</v>
      </c>
      <c r="I162" s="56">
        <v>1434036.0000000005</v>
      </c>
      <c r="J162" s="56">
        <v>1425901</v>
      </c>
      <c r="K162" s="56">
        <v>1417183</v>
      </c>
      <c r="L162" s="56">
        <v>1407534.0000000002</v>
      </c>
      <c r="M162" s="56">
        <v>1396812.9999999995</v>
      </c>
      <c r="N162" s="56">
        <v>1385282</v>
      </c>
      <c r="O162" s="56">
        <v>1373686.0000000002</v>
      </c>
      <c r="P162" s="56">
        <v>1361788.0000000002</v>
      </c>
      <c r="Q162" s="56">
        <v>1349626</v>
      </c>
      <c r="R162" s="56">
        <v>1337415.9999999998</v>
      </c>
      <c r="S162" s="56">
        <v>1327091.9999999998</v>
      </c>
      <c r="T162" s="56">
        <v>1316379.9999999998</v>
      </c>
      <c r="U162" s="56">
        <v>1305432.0000000005</v>
      </c>
      <c r="V162" s="56">
        <v>1294343.9999999998</v>
      </c>
      <c r="W162" s="56">
        <v>1282985.0000000002</v>
      </c>
      <c r="X162" s="56">
        <v>1271570.9999999998</v>
      </c>
      <c r="Y162" s="56">
        <v>1260255</v>
      </c>
      <c r="Z162" s="56">
        <v>1248497.9999999995</v>
      </c>
      <c r="AA162" s="56">
        <v>1235468.0000000002</v>
      </c>
      <c r="AB162" s="56">
        <v>1220783</v>
      </c>
      <c r="AC162" s="56">
        <v>1205714.9999999998</v>
      </c>
      <c r="AD162" s="56">
        <v>1188970.0000000002</v>
      </c>
      <c r="AE162" s="56">
        <v>1171240</v>
      </c>
      <c r="AF162" s="56">
        <v>1153620.9999999998</v>
      </c>
      <c r="AG162" s="56">
        <v>1136735</v>
      </c>
    </row>
    <row r="163" spans="1:33" x14ac:dyDescent="0.3">
      <c r="A163" s="369" t="s">
        <v>354</v>
      </c>
      <c r="B163" s="370" t="s">
        <v>354</v>
      </c>
      <c r="C163" s="56">
        <v>514804.00000000012</v>
      </c>
      <c r="D163" s="56">
        <v>513274</v>
      </c>
      <c r="E163" s="56">
        <v>511143</v>
      </c>
      <c r="F163" s="56">
        <v>508477.00000000012</v>
      </c>
      <c r="G163" s="56">
        <v>505375</v>
      </c>
      <c r="H163" s="56">
        <v>501891</v>
      </c>
      <c r="I163" s="56">
        <v>497996.99999999994</v>
      </c>
      <c r="J163" s="56">
        <v>493579</v>
      </c>
      <c r="K163" s="56">
        <v>488737.99999999994</v>
      </c>
      <c r="L163" s="56">
        <v>483686.99999999994</v>
      </c>
      <c r="M163" s="56">
        <v>478533</v>
      </c>
      <c r="N163" s="56">
        <v>473224</v>
      </c>
      <c r="O163" s="56">
        <v>468212.99999999994</v>
      </c>
      <c r="P163" s="56">
        <v>463195</v>
      </c>
      <c r="Q163" s="56">
        <v>457872</v>
      </c>
      <c r="R163" s="56">
        <v>452204</v>
      </c>
      <c r="S163" s="56">
        <v>446577</v>
      </c>
      <c r="T163" s="56">
        <v>440672</v>
      </c>
      <c r="U163" s="56">
        <v>434794</v>
      </c>
      <c r="V163" s="56">
        <v>429371</v>
      </c>
      <c r="W163" s="56">
        <v>424607.99999999988</v>
      </c>
      <c r="X163" s="56">
        <v>420834.99999999988</v>
      </c>
      <c r="Y163" s="56">
        <v>417696.99999999988</v>
      </c>
      <c r="Z163" s="56">
        <v>414949.00000000006</v>
      </c>
      <c r="AA163" s="56">
        <v>412149.00000000006</v>
      </c>
      <c r="AB163" s="56">
        <v>408988</v>
      </c>
      <c r="AC163" s="56">
        <v>405673.00000000006</v>
      </c>
      <c r="AD163" s="56">
        <v>402145.00000000006</v>
      </c>
      <c r="AE163" s="56">
        <v>398426</v>
      </c>
      <c r="AF163" s="56">
        <v>394590.00000000006</v>
      </c>
      <c r="AG163" s="56">
        <v>390693.00000000006</v>
      </c>
    </row>
    <row r="164" spans="1:33" x14ac:dyDescent="0.3">
      <c r="A164" s="369" t="s">
        <v>46</v>
      </c>
      <c r="B164" s="370" t="s">
        <v>46</v>
      </c>
      <c r="C164" s="56">
        <v>97071</v>
      </c>
      <c r="D164" s="56">
        <v>100212.99999999999</v>
      </c>
      <c r="E164" s="56">
        <v>103407.00000000001</v>
      </c>
      <c r="F164" s="56">
        <v>106631.00000000003</v>
      </c>
      <c r="G164" s="56">
        <v>109886.99999999999</v>
      </c>
      <c r="H164" s="56">
        <v>113175.99999999999</v>
      </c>
      <c r="I164" s="56">
        <v>116402.99999999997</v>
      </c>
      <c r="J164" s="56">
        <v>119695.00000000001</v>
      </c>
      <c r="K164" s="56">
        <v>123009.99999999999</v>
      </c>
      <c r="L164" s="56">
        <v>126326</v>
      </c>
      <c r="M164" s="56">
        <v>129671.00000000001</v>
      </c>
      <c r="N164" s="56">
        <v>132903.00000000003</v>
      </c>
      <c r="O164" s="56">
        <v>136116.99999999997</v>
      </c>
      <c r="P164" s="56">
        <v>139362</v>
      </c>
      <c r="Q164" s="56">
        <v>142715.00000000003</v>
      </c>
      <c r="R164" s="56">
        <v>146214</v>
      </c>
      <c r="S164" s="56">
        <v>149661.99999999997</v>
      </c>
      <c r="T164" s="56">
        <v>153352.99999999997</v>
      </c>
      <c r="U164" s="56">
        <v>157161</v>
      </c>
      <c r="V164" s="56">
        <v>160888.00000000006</v>
      </c>
      <c r="W164" s="56">
        <v>164458</v>
      </c>
      <c r="X164" s="56">
        <v>168084</v>
      </c>
      <c r="Y164" s="56">
        <v>171564.99999999997</v>
      </c>
      <c r="Z164" s="56">
        <v>174998.00000000003</v>
      </c>
      <c r="AA164" s="56">
        <v>178541.00000000003</v>
      </c>
      <c r="AB164" s="56">
        <v>182273.00000000003</v>
      </c>
      <c r="AC164" s="56">
        <v>186337.99999999991</v>
      </c>
      <c r="AD164" s="56">
        <v>190505.99999999997</v>
      </c>
      <c r="AE164" s="56">
        <v>194821.99999999997</v>
      </c>
      <c r="AF164" s="56">
        <v>199312.00000000003</v>
      </c>
      <c r="AG164" s="56">
        <v>203979.00000000003</v>
      </c>
    </row>
    <row r="165" spans="1:33" x14ac:dyDescent="0.3">
      <c r="A165" s="369" t="s">
        <v>84</v>
      </c>
      <c r="B165" s="370" t="s">
        <v>84</v>
      </c>
      <c r="C165" s="56">
        <v>1930216.0000000005</v>
      </c>
      <c r="D165" s="56">
        <v>1985007.9999999995</v>
      </c>
      <c r="E165" s="56">
        <v>2045110</v>
      </c>
      <c r="F165" s="56">
        <v>2109304</v>
      </c>
      <c r="G165" s="56">
        <v>2175941</v>
      </c>
      <c r="H165" s="56">
        <v>2244371.9999999995</v>
      </c>
      <c r="I165" s="56">
        <v>2305676.0000000005</v>
      </c>
      <c r="J165" s="56">
        <v>2367620</v>
      </c>
      <c r="K165" s="56">
        <v>2432372.0000000005</v>
      </c>
      <c r="L165" s="56">
        <v>2503161.9999999995</v>
      </c>
      <c r="M165" s="56">
        <v>2581662.0000000009</v>
      </c>
      <c r="N165" s="56">
        <v>2658805.0000000005</v>
      </c>
      <c r="O165" s="56">
        <v>2745245.0000000009</v>
      </c>
      <c r="P165" s="56">
        <v>2839147.0000000005</v>
      </c>
      <c r="Q165" s="56">
        <v>2937104.9999999995</v>
      </c>
      <c r="R165" s="56">
        <v>3037292.0000000009</v>
      </c>
      <c r="S165" s="56">
        <v>3138590.0000000005</v>
      </c>
      <c r="T165" s="56">
        <v>3241314</v>
      </c>
      <c r="U165" s="56">
        <v>3346858.9999999995</v>
      </c>
      <c r="V165" s="56">
        <v>3457639.9999999995</v>
      </c>
      <c r="W165" s="56">
        <v>3574771.9999999986</v>
      </c>
      <c r="X165" s="56">
        <v>3692967.0000000005</v>
      </c>
      <c r="Y165" s="56">
        <v>3818498.9999999995</v>
      </c>
      <c r="Z165" s="56">
        <v>3950060.0000000009</v>
      </c>
      <c r="AA165" s="56">
        <v>4085612.0000000009</v>
      </c>
      <c r="AB165" s="56">
        <v>4224140.9999999991</v>
      </c>
      <c r="AC165" s="56">
        <v>4362245.9999999981</v>
      </c>
      <c r="AD165" s="56">
        <v>4504230.9999999991</v>
      </c>
      <c r="AE165" s="56">
        <v>4650609</v>
      </c>
      <c r="AF165" s="56">
        <v>4802684</v>
      </c>
      <c r="AG165" s="56">
        <v>4961232.0000000009</v>
      </c>
    </row>
    <row r="166" spans="1:33" x14ac:dyDescent="0.3">
      <c r="A166" s="369" t="s">
        <v>53</v>
      </c>
      <c r="B166" s="370" t="s">
        <v>53</v>
      </c>
      <c r="C166" s="56">
        <v>12015038.999999998</v>
      </c>
      <c r="D166" s="56">
        <v>12279286.000000004</v>
      </c>
      <c r="E166" s="56">
        <v>12540958</v>
      </c>
      <c r="F166" s="56">
        <v>12798795.999999996</v>
      </c>
      <c r="G166" s="56">
        <v>13048632.000000002</v>
      </c>
      <c r="H166" s="56">
        <v>13287789</v>
      </c>
      <c r="I166" s="56">
        <v>13498232</v>
      </c>
      <c r="J166" s="56">
        <v>13696686.000000002</v>
      </c>
      <c r="K166" s="56">
        <v>13887084</v>
      </c>
      <c r="L166" s="56">
        <v>14077750.000000002</v>
      </c>
      <c r="M166" s="56">
        <v>14273827.999999998</v>
      </c>
      <c r="N166" s="56">
        <v>14444550.000000004</v>
      </c>
      <c r="O166" s="56">
        <v>14628481</v>
      </c>
      <c r="P166" s="56">
        <v>14816791.000000002</v>
      </c>
      <c r="Q166" s="56">
        <v>14998773.000000006</v>
      </c>
      <c r="R166" s="56">
        <v>15169651.999999998</v>
      </c>
      <c r="S166" s="56">
        <v>15361616.000000002</v>
      </c>
      <c r="T166" s="56">
        <v>15544425.999999998</v>
      </c>
      <c r="U166" s="56">
        <v>15722426.000000002</v>
      </c>
      <c r="V166" s="56">
        <v>15903241.000000002</v>
      </c>
      <c r="W166" s="56">
        <v>16090844.000000002</v>
      </c>
      <c r="X166" s="56">
        <v>16281201</v>
      </c>
      <c r="Y166" s="56">
        <v>16472292.000000002</v>
      </c>
      <c r="Z166" s="56">
        <v>16666003</v>
      </c>
      <c r="AA166" s="56">
        <v>16862912.000000004</v>
      </c>
      <c r="AB166" s="56">
        <v>17061840</v>
      </c>
      <c r="AC166" s="56">
        <v>17252793.999999993</v>
      </c>
      <c r="AD166" s="56">
        <v>17446924.999999996</v>
      </c>
      <c r="AE166" s="56">
        <v>17636720</v>
      </c>
      <c r="AF166" s="56">
        <v>17811357</v>
      </c>
      <c r="AG166" s="56">
        <v>17964286.000000007</v>
      </c>
    </row>
    <row r="167" spans="1:33" x14ac:dyDescent="0.3">
      <c r="A167" s="369" t="s">
        <v>85</v>
      </c>
      <c r="B167" s="370" t="s">
        <v>85</v>
      </c>
      <c r="C167" s="56">
        <v>1397360</v>
      </c>
      <c r="D167" s="56">
        <v>1453334.9999999998</v>
      </c>
      <c r="E167" s="56">
        <v>1511699</v>
      </c>
      <c r="F167" s="56">
        <v>1574791.9999999998</v>
      </c>
      <c r="G167" s="56">
        <v>1645488</v>
      </c>
      <c r="H167" s="56">
        <v>1725146.0000000002</v>
      </c>
      <c r="I167" s="56">
        <v>1814763</v>
      </c>
      <c r="J167" s="56">
        <v>1912285</v>
      </c>
      <c r="K167" s="56">
        <v>2013280.0000000005</v>
      </c>
      <c r="L167" s="56">
        <v>2112832.0000000005</v>
      </c>
      <c r="M167" s="56">
        <v>2207652</v>
      </c>
      <c r="N167" s="56">
        <v>2286933</v>
      </c>
      <c r="O167" s="56">
        <v>2359504.9999999995</v>
      </c>
      <c r="P167" s="56">
        <v>2424854.0000000009</v>
      </c>
      <c r="Q167" s="56">
        <v>2482396</v>
      </c>
      <c r="R167" s="56">
        <v>2532720.0000000005</v>
      </c>
      <c r="S167" s="56">
        <v>2568023.0000000005</v>
      </c>
      <c r="T167" s="56">
        <v>2594639.9999999995</v>
      </c>
      <c r="U167" s="56">
        <v>2619254</v>
      </c>
      <c r="V167" s="56">
        <v>2650055.0000000005</v>
      </c>
      <c r="W167" s="56">
        <v>2691905.9999999995</v>
      </c>
      <c r="X167" s="56">
        <v>2747560.0000000009</v>
      </c>
      <c r="Y167" s="56">
        <v>2817014.0000000005</v>
      </c>
      <c r="Z167" s="56">
        <v>2896048.9999999986</v>
      </c>
      <c r="AA167" s="56">
        <v>2978912.9999999991</v>
      </c>
      <c r="AB167" s="56">
        <v>3061716</v>
      </c>
      <c r="AC167" s="56">
        <v>3140709</v>
      </c>
      <c r="AD167" s="56">
        <v>3220949.0000000005</v>
      </c>
      <c r="AE167" s="56">
        <v>3302538</v>
      </c>
      <c r="AF167" s="56">
        <v>3385900</v>
      </c>
      <c r="AG167" s="56">
        <v>3471329</v>
      </c>
    </row>
    <row r="168" spans="1:33" x14ac:dyDescent="0.3">
      <c r="A168" s="369" t="s">
        <v>355</v>
      </c>
      <c r="B168" s="370" t="s">
        <v>355</v>
      </c>
      <c r="C168" s="56">
        <v>10593172.999999998</v>
      </c>
      <c r="D168" s="56">
        <v>10731571</v>
      </c>
      <c r="E168" s="56">
        <v>10880811.000000002</v>
      </c>
      <c r="F168" s="56">
        <v>11031990.000000002</v>
      </c>
      <c r="G168" s="56">
        <v>11173783</v>
      </c>
      <c r="H168" s="56">
        <v>11297189.000000002</v>
      </c>
      <c r="I168" s="56">
        <v>11408303.999999998</v>
      </c>
      <c r="J168" s="56">
        <v>11509180.000000002</v>
      </c>
      <c r="K168" s="56">
        <v>11589942</v>
      </c>
      <c r="L168" s="56">
        <v>11640490.000000002</v>
      </c>
      <c r="M168" s="56">
        <v>11655007</v>
      </c>
      <c r="N168" s="56">
        <v>11537651.999999996</v>
      </c>
      <c r="O168" s="56">
        <v>11391070</v>
      </c>
      <c r="P168" s="56">
        <v>11222581</v>
      </c>
      <c r="Q168" s="56">
        <v>11043712.999999998</v>
      </c>
      <c r="R168" s="56">
        <v>10865568</v>
      </c>
      <c r="S168" s="56">
        <v>10732654.000000002</v>
      </c>
      <c r="T168" s="56">
        <v>10596723.000000002</v>
      </c>
      <c r="U168" s="56">
        <v>10460610.999999998</v>
      </c>
      <c r="V168" s="56">
        <v>10326979.000000004</v>
      </c>
      <c r="W168" s="56">
        <v>10194711.000000002</v>
      </c>
      <c r="X168" s="56">
        <v>10066140</v>
      </c>
      <c r="Y168" s="56">
        <v>9943653</v>
      </c>
      <c r="Z168" s="56">
        <v>9821455</v>
      </c>
      <c r="AA168" s="56">
        <v>9689506</v>
      </c>
      <c r="AB168" s="56">
        <v>9542238.0000000037</v>
      </c>
      <c r="AC168" s="56">
        <v>9388814</v>
      </c>
      <c r="AD168" s="56">
        <v>9224995</v>
      </c>
      <c r="AE168" s="56">
        <v>9055510</v>
      </c>
      <c r="AF168" s="56">
        <v>8888809.0000000019</v>
      </c>
      <c r="AG168" s="56">
        <v>8730086.0000000019</v>
      </c>
    </row>
    <row r="169" spans="1:33" x14ac:dyDescent="0.3">
      <c r="A169" s="370" t="s">
        <v>86</v>
      </c>
      <c r="B169" s="370" t="s">
        <v>86</v>
      </c>
      <c r="C169" s="56">
        <v>5176177.9999999991</v>
      </c>
      <c r="D169" s="56">
        <v>5216727.9999999991</v>
      </c>
      <c r="E169" s="56">
        <v>5253903.9999999991</v>
      </c>
      <c r="F169" s="56">
        <v>5286622.0000000009</v>
      </c>
      <c r="G169" s="56">
        <v>5314251</v>
      </c>
      <c r="H169" s="56">
        <v>5335898.9999999981</v>
      </c>
      <c r="I169" s="56">
        <v>5341921</v>
      </c>
      <c r="J169" s="56">
        <v>5345561.9999999972</v>
      </c>
      <c r="K169" s="56">
        <v>5347334</v>
      </c>
      <c r="L169" s="56">
        <v>5347224</v>
      </c>
      <c r="M169" s="56">
        <v>5345748.9999999991</v>
      </c>
      <c r="N169" s="56">
        <v>5349742.9999999991</v>
      </c>
      <c r="O169" s="56">
        <v>5349383.0000000009</v>
      </c>
      <c r="P169" s="56">
        <v>5346351.0000000019</v>
      </c>
      <c r="Q169" s="56">
        <v>5342657.9999999981</v>
      </c>
      <c r="R169" s="56">
        <v>5339116.0000000009</v>
      </c>
      <c r="S169" s="56">
        <v>5337844.9999999991</v>
      </c>
      <c r="T169" s="56">
        <v>5334422.0000000009</v>
      </c>
      <c r="U169" s="56">
        <v>5330331.9999999991</v>
      </c>
      <c r="V169" s="56">
        <v>5326818.9999999991</v>
      </c>
      <c r="W169" s="56">
        <v>5324160.0000000009</v>
      </c>
      <c r="X169" s="56">
        <v>5326104</v>
      </c>
      <c r="Y169" s="56">
        <v>5330390.9999999991</v>
      </c>
      <c r="Z169" s="56">
        <v>5333772.9999999981</v>
      </c>
      <c r="AA169" s="56">
        <v>5331026</v>
      </c>
      <c r="AB169" s="56">
        <v>5319112.0000000009</v>
      </c>
      <c r="AC169" s="56">
        <v>5307598.0000000009</v>
      </c>
      <c r="AD169" s="56">
        <v>5285887</v>
      </c>
      <c r="AE169" s="56">
        <v>5257134</v>
      </c>
      <c r="AF169" s="56">
        <v>5226196</v>
      </c>
      <c r="AG169" s="56">
        <v>5195726.9999999981</v>
      </c>
    </row>
    <row r="170" spans="1:33" x14ac:dyDescent="0.3">
      <c r="A170" s="369" t="s">
        <v>117</v>
      </c>
      <c r="B170" s="370" t="s">
        <v>117</v>
      </c>
      <c r="C170" s="56">
        <v>702853.99999999977</v>
      </c>
      <c r="D170" s="56">
        <v>726584</v>
      </c>
      <c r="E170" s="56">
        <v>747225.00000000012</v>
      </c>
      <c r="F170" s="56">
        <v>766944.99999999988</v>
      </c>
      <c r="G170" s="56">
        <v>788470.00000000012</v>
      </c>
      <c r="H170" s="56">
        <v>813335.99999999988</v>
      </c>
      <c r="I170" s="56">
        <v>842943.00000000012</v>
      </c>
      <c r="J170" s="56">
        <v>875543.00000000023</v>
      </c>
      <c r="K170" s="56">
        <v>909977.99999999977</v>
      </c>
      <c r="L170" s="56">
        <v>944377</v>
      </c>
      <c r="M170" s="56">
        <v>977439.00000000012</v>
      </c>
      <c r="N170" s="56">
        <v>1007659.9999999999</v>
      </c>
      <c r="O170" s="56">
        <v>1036959.9999999998</v>
      </c>
      <c r="P170" s="56">
        <v>1065651.0000000002</v>
      </c>
      <c r="Q170" s="56">
        <v>1094318.9999999998</v>
      </c>
      <c r="R170" s="56">
        <v>1123440</v>
      </c>
      <c r="S170" s="56">
        <v>1152436.0000000002</v>
      </c>
      <c r="T170" s="56">
        <v>1182710</v>
      </c>
      <c r="U170" s="56">
        <v>1213735</v>
      </c>
      <c r="V170" s="56">
        <v>1245041.0000000005</v>
      </c>
      <c r="W170" s="56">
        <v>1276536</v>
      </c>
      <c r="X170" s="56">
        <v>1311527</v>
      </c>
      <c r="Y170" s="56">
        <v>1346110.9999999995</v>
      </c>
      <c r="Z170" s="56">
        <v>1380969.0000000002</v>
      </c>
      <c r="AA170" s="56">
        <v>1417017.9999999998</v>
      </c>
      <c r="AB170" s="56">
        <v>1454526</v>
      </c>
      <c r="AC170" s="56">
        <v>1491840</v>
      </c>
      <c r="AD170" s="56">
        <v>1530836</v>
      </c>
      <c r="AE170" s="56">
        <v>1570718</v>
      </c>
      <c r="AF170" s="56">
        <v>1610155.0000000005</v>
      </c>
      <c r="AG170" s="56">
        <v>1648427</v>
      </c>
    </row>
    <row r="171" spans="1:33" x14ac:dyDescent="0.3">
      <c r="A171" s="369" t="s">
        <v>87</v>
      </c>
      <c r="B171" s="370" t="s">
        <v>87</v>
      </c>
      <c r="C171" s="56">
        <v>6325451.9999999991</v>
      </c>
      <c r="D171" s="56">
        <v>6488359.9999999991</v>
      </c>
      <c r="E171" s="56">
        <v>6657113</v>
      </c>
      <c r="F171" s="56">
        <v>6831202</v>
      </c>
      <c r="G171" s="56">
        <v>7010658.0000000009</v>
      </c>
      <c r="H171" s="56">
        <v>7195035</v>
      </c>
      <c r="I171" s="56">
        <v>7366890.0000000019</v>
      </c>
      <c r="J171" s="56">
        <v>7543660.9999999991</v>
      </c>
      <c r="K171" s="56">
        <v>7726451</v>
      </c>
      <c r="L171" s="56">
        <v>7916303.9999999991</v>
      </c>
      <c r="M171" s="56">
        <v>8114715.9999999972</v>
      </c>
      <c r="N171" s="56">
        <v>8331381.9999999981</v>
      </c>
      <c r="O171" s="56">
        <v>8560764.0000000019</v>
      </c>
      <c r="P171" s="56">
        <v>8801960.0000000019</v>
      </c>
      <c r="Q171" s="56">
        <v>9053331.9999999963</v>
      </c>
      <c r="R171" s="56">
        <v>9313155.9999999981</v>
      </c>
      <c r="S171" s="56">
        <v>9575720.0000000056</v>
      </c>
      <c r="T171" s="56">
        <v>9847069.9999999981</v>
      </c>
      <c r="U171" s="56">
        <v>10126734.999999998</v>
      </c>
      <c r="V171" s="56">
        <v>10414375</v>
      </c>
      <c r="W171" s="56">
        <v>10709480.999999998</v>
      </c>
      <c r="X171" s="56">
        <v>11014473.000000002</v>
      </c>
      <c r="Y171" s="56">
        <v>11327534.999999996</v>
      </c>
      <c r="Z171" s="56">
        <v>11646587.999999998</v>
      </c>
      <c r="AA171" s="56">
        <v>11968948</v>
      </c>
      <c r="AB171" s="56">
        <v>12292714</v>
      </c>
      <c r="AC171" s="56">
        <v>12615703</v>
      </c>
      <c r="AD171" s="56">
        <v>12940293.999999996</v>
      </c>
      <c r="AE171" s="56">
        <v>13266665</v>
      </c>
      <c r="AF171" s="56">
        <v>13595746.000000006</v>
      </c>
      <c r="AG171" s="56">
        <v>13928012.999999996</v>
      </c>
    </row>
    <row r="172" spans="1:33" x14ac:dyDescent="0.3">
      <c r="A172" s="369" t="s">
        <v>386</v>
      </c>
      <c r="B172" s="370" t="s">
        <v>386</v>
      </c>
      <c r="C172" s="56">
        <v>121173.99999999999</v>
      </c>
      <c r="D172" s="56">
        <v>123019</v>
      </c>
      <c r="E172" s="56">
        <v>124731.99999999994</v>
      </c>
      <c r="F172" s="56">
        <v>126367.00000000001</v>
      </c>
      <c r="G172" s="56">
        <v>127991.99999999996</v>
      </c>
      <c r="H172" s="56">
        <v>129683</v>
      </c>
      <c r="I172" s="56">
        <v>131599.00000000003</v>
      </c>
      <c r="J172" s="56">
        <v>133643</v>
      </c>
      <c r="K172" s="56">
        <v>135701</v>
      </c>
      <c r="L172" s="56">
        <v>137553.99999999997</v>
      </c>
      <c r="M172" s="56">
        <v>139076.99999999997</v>
      </c>
      <c r="N172" s="56">
        <v>140375.00000000003</v>
      </c>
      <c r="O172" s="56">
        <v>141323.99999999997</v>
      </c>
      <c r="P172" s="56">
        <v>142041</v>
      </c>
      <c r="Q172" s="56">
        <v>142749.00000000003</v>
      </c>
      <c r="R172" s="56">
        <v>143576.00000000003</v>
      </c>
      <c r="S172" s="56">
        <v>144472.00000000003</v>
      </c>
      <c r="T172" s="56">
        <v>145532.99999999997</v>
      </c>
      <c r="U172" s="56">
        <v>146653.00000000003</v>
      </c>
      <c r="V172" s="56">
        <v>147656.99999999997</v>
      </c>
      <c r="W172" s="56">
        <v>148448.00000000003</v>
      </c>
      <c r="X172" s="56">
        <v>149189</v>
      </c>
      <c r="Y172" s="56">
        <v>149709.00000000003</v>
      </c>
      <c r="Z172" s="56">
        <v>150124.00000000006</v>
      </c>
      <c r="AA172" s="56">
        <v>150619.99999999997</v>
      </c>
      <c r="AB172" s="56">
        <v>151305.00000000003</v>
      </c>
      <c r="AC172" s="56">
        <v>152191.00000000003</v>
      </c>
      <c r="AD172" s="56">
        <v>153251.99999999997</v>
      </c>
      <c r="AE172" s="56">
        <v>154389.99999999997</v>
      </c>
      <c r="AF172" s="56">
        <v>155433.00000000006</v>
      </c>
      <c r="AG172" s="56">
        <v>156275</v>
      </c>
    </row>
    <row r="173" spans="1:33" x14ac:dyDescent="0.3">
      <c r="A173" s="369" t="s">
        <v>872</v>
      </c>
      <c r="B173" s="370" t="s">
        <v>872</v>
      </c>
      <c r="C173" s="56">
        <v>254789.99999999991</v>
      </c>
      <c r="D173" s="56">
        <v>258728.99999999997</v>
      </c>
      <c r="E173" s="56">
        <v>261887</v>
      </c>
      <c r="F173" s="56">
        <v>264678.99999999994</v>
      </c>
      <c r="G173" s="56">
        <v>267658</v>
      </c>
      <c r="H173" s="56">
        <v>271133.00000000006</v>
      </c>
      <c r="I173" s="56">
        <v>274241.99999999988</v>
      </c>
      <c r="J173" s="56">
        <v>277813.99999999994</v>
      </c>
      <c r="K173" s="56">
        <v>281645.00000000006</v>
      </c>
      <c r="L173" s="56">
        <v>285460.99999999994</v>
      </c>
      <c r="M173" s="56">
        <v>289141</v>
      </c>
      <c r="N173" s="56">
        <v>290587.99999999988</v>
      </c>
      <c r="O173" s="56">
        <v>291938.99999999994</v>
      </c>
      <c r="P173" s="56">
        <v>293256</v>
      </c>
      <c r="Q173" s="56">
        <v>294592.00000000006</v>
      </c>
      <c r="R173" s="56">
        <v>296105</v>
      </c>
      <c r="S173" s="56">
        <v>299201.99999999994</v>
      </c>
      <c r="T173" s="56">
        <v>301934</v>
      </c>
      <c r="U173" s="56">
        <v>304667.99999999994</v>
      </c>
      <c r="V173" s="56">
        <v>307887.00000000006</v>
      </c>
      <c r="W173" s="56">
        <v>311833</v>
      </c>
      <c r="X173" s="56">
        <v>316715.99999999994</v>
      </c>
      <c r="Y173" s="56">
        <v>322415.99999999988</v>
      </c>
      <c r="Z173" s="56">
        <v>328570</v>
      </c>
      <c r="AA173" s="56">
        <v>334544</v>
      </c>
      <c r="AB173" s="56">
        <v>340002</v>
      </c>
      <c r="AC173" s="56">
        <v>345536</v>
      </c>
      <c r="AD173" s="56">
        <v>350421.00000000012</v>
      </c>
      <c r="AE173" s="56">
        <v>354922.99999999994</v>
      </c>
      <c r="AF173" s="56">
        <v>359463.99999999994</v>
      </c>
      <c r="AG173" s="56">
        <v>364313.00000000012</v>
      </c>
    </row>
    <row r="174" spans="1:33" x14ac:dyDescent="0.3">
      <c r="A174" s="369" t="s">
        <v>343</v>
      </c>
      <c r="B174" s="370" t="s">
        <v>343</v>
      </c>
      <c r="C174" s="56">
        <v>1983359.0000000005</v>
      </c>
      <c r="D174" s="56">
        <v>1986672</v>
      </c>
      <c r="E174" s="56">
        <v>1990842.9999999998</v>
      </c>
      <c r="F174" s="56">
        <v>1997312.9999999998</v>
      </c>
      <c r="G174" s="56">
        <v>2007666.0000000005</v>
      </c>
      <c r="H174" s="56">
        <v>2021942.0000000002</v>
      </c>
      <c r="I174" s="56">
        <v>2038314</v>
      </c>
      <c r="J174" s="56">
        <v>2061497.9999999995</v>
      </c>
      <c r="K174" s="56">
        <v>2087612.9999999998</v>
      </c>
      <c r="L174" s="56">
        <v>2110990</v>
      </c>
      <c r="M174" s="56">
        <v>2128435</v>
      </c>
      <c r="N174" s="56">
        <v>2142883</v>
      </c>
      <c r="O174" s="56">
        <v>2151868.9999999995</v>
      </c>
      <c r="P174" s="56">
        <v>2155858.9999999995</v>
      </c>
      <c r="Q174" s="56">
        <v>2157243.0000000005</v>
      </c>
      <c r="R174" s="56">
        <v>2157846</v>
      </c>
      <c r="S174" s="56">
        <v>2157061</v>
      </c>
      <c r="T174" s="56">
        <v>2155312</v>
      </c>
      <c r="U174" s="56">
        <v>2153812</v>
      </c>
      <c r="V174" s="56">
        <v>2153609</v>
      </c>
      <c r="W174" s="56">
        <v>2154980.0000000005</v>
      </c>
      <c r="X174" s="56">
        <v>2155514.9999999995</v>
      </c>
      <c r="Y174" s="56">
        <v>2158340</v>
      </c>
      <c r="Z174" s="56">
        <v>2162987</v>
      </c>
      <c r="AA174" s="56">
        <v>2168742.9999999995</v>
      </c>
      <c r="AB174" s="56">
        <v>2175120.0000000005</v>
      </c>
      <c r="AC174" s="56">
        <v>2183459.9999999995</v>
      </c>
      <c r="AD174" s="56">
        <v>2193198</v>
      </c>
      <c r="AE174" s="56">
        <v>2203607.9999999995</v>
      </c>
      <c r="AF174" s="56">
        <v>2213852.0000000009</v>
      </c>
      <c r="AG174" s="56">
        <v>2223228</v>
      </c>
    </row>
    <row r="175" spans="1:33" x14ac:dyDescent="0.3">
      <c r="A175" s="369" t="s">
        <v>363</v>
      </c>
      <c r="B175" s="370" t="s">
        <v>363</v>
      </c>
      <c r="C175" s="56">
        <v>1759898.0000000002</v>
      </c>
      <c r="D175" s="56">
        <v>1766718.0000000002</v>
      </c>
      <c r="E175" s="56">
        <v>1776308</v>
      </c>
      <c r="F175" s="56">
        <v>1788207</v>
      </c>
      <c r="G175" s="56">
        <v>1801664</v>
      </c>
      <c r="H175" s="56">
        <v>1815964.9999999995</v>
      </c>
      <c r="I175" s="56">
        <v>1831684.0000000005</v>
      </c>
      <c r="J175" s="56">
        <v>1848356.0000000007</v>
      </c>
      <c r="K175" s="56">
        <v>1864771.0000000002</v>
      </c>
      <c r="L175" s="56">
        <v>1879550</v>
      </c>
      <c r="M175" s="56">
        <v>1891594</v>
      </c>
      <c r="N175" s="56">
        <v>1906483</v>
      </c>
      <c r="O175" s="56">
        <v>1919719</v>
      </c>
      <c r="P175" s="56">
        <v>1930171.9999999998</v>
      </c>
      <c r="Q175" s="56">
        <v>1937164.0000000002</v>
      </c>
      <c r="R175" s="56">
        <v>1940617.0000000002</v>
      </c>
      <c r="S175" s="56">
        <v>1935110</v>
      </c>
      <c r="T175" s="56">
        <v>1927618.0000000002</v>
      </c>
      <c r="U175" s="56">
        <v>1919264.0000000005</v>
      </c>
      <c r="V175" s="56">
        <v>1911713.0000000002</v>
      </c>
      <c r="W175" s="56">
        <v>1905867.0000000002</v>
      </c>
      <c r="X175" s="56">
        <v>1899282</v>
      </c>
      <c r="Y175" s="56">
        <v>1894988.9999999995</v>
      </c>
      <c r="Z175" s="56">
        <v>1892570.0000000005</v>
      </c>
      <c r="AA175" s="56">
        <v>1891259.0000000002</v>
      </c>
      <c r="AB175" s="56">
        <v>1890422.9999999998</v>
      </c>
      <c r="AC175" s="56">
        <v>1891506</v>
      </c>
      <c r="AD175" s="56">
        <v>1893817.9999999998</v>
      </c>
      <c r="AE175" s="56">
        <v>1896460.9999999995</v>
      </c>
      <c r="AF175" s="56">
        <v>1898220.9999999998</v>
      </c>
      <c r="AG175" s="56">
        <v>1898195.9999999995</v>
      </c>
    </row>
    <row r="176" spans="1:33" x14ac:dyDescent="0.3">
      <c r="A176" s="369" t="s">
        <v>321</v>
      </c>
      <c r="B176" s="370" t="s">
        <v>730</v>
      </c>
      <c r="C176" s="56">
        <v>4080692</v>
      </c>
      <c r="D176" s="56">
        <v>4174220.9999999995</v>
      </c>
      <c r="E176" s="56">
        <v>4261583.0000000009</v>
      </c>
      <c r="F176" s="56">
        <v>4353584</v>
      </c>
      <c r="G176" s="56">
        <v>4463524.9999999981</v>
      </c>
      <c r="H176" s="56">
        <v>4598839.0000000009</v>
      </c>
      <c r="I176" s="56">
        <v>4817414.9999999991</v>
      </c>
      <c r="J176" s="56">
        <v>5055678</v>
      </c>
      <c r="K176" s="56">
        <v>5278056</v>
      </c>
      <c r="L176" s="56">
        <v>5444117.9999999991</v>
      </c>
      <c r="M176" s="56">
        <v>5530233.0000000009</v>
      </c>
      <c r="N176" s="56">
        <v>5476949.0000000019</v>
      </c>
      <c r="O176" s="56">
        <v>5341958.9999999991</v>
      </c>
      <c r="P176" s="56">
        <v>5161034</v>
      </c>
      <c r="Q176" s="56">
        <v>4976055.9999999991</v>
      </c>
      <c r="R176" s="56">
        <v>4817637</v>
      </c>
      <c r="S176" s="56">
        <v>4700487.9999999991</v>
      </c>
      <c r="T176" s="56">
        <v>4615199</v>
      </c>
      <c r="U176" s="56">
        <v>4580104.0000000019</v>
      </c>
      <c r="V176" s="56">
        <v>4615782</v>
      </c>
      <c r="W176" s="56">
        <v>4727170</v>
      </c>
      <c r="X176" s="56">
        <v>4948168.0000000009</v>
      </c>
      <c r="Y176" s="56">
        <v>5252876</v>
      </c>
      <c r="Z176" s="56">
        <v>5593291.0000000009</v>
      </c>
      <c r="AA176" s="56">
        <v>5910756.9999999991</v>
      </c>
      <c r="AB176" s="56">
        <v>6173182.0000000009</v>
      </c>
      <c r="AC176" s="56">
        <v>6398580.9999999991</v>
      </c>
      <c r="AD176" s="56">
        <v>6567544.9999999991</v>
      </c>
      <c r="AE176" s="56">
        <v>6696143.9999999981</v>
      </c>
      <c r="AF176" s="56">
        <v>6806787</v>
      </c>
      <c r="AG176" s="56">
        <v>6911840.9999999991</v>
      </c>
    </row>
    <row r="177" spans="1:33" x14ac:dyDescent="0.3">
      <c r="A177" s="370" t="s">
        <v>88</v>
      </c>
      <c r="B177" s="370" t="s">
        <v>88</v>
      </c>
      <c r="C177" s="56">
        <v>1515966.0000000002</v>
      </c>
      <c r="D177" s="56">
        <v>1562243.0000000002</v>
      </c>
      <c r="E177" s="56">
        <v>1614007.9999999995</v>
      </c>
      <c r="F177" s="56">
        <v>1669537.9999999998</v>
      </c>
      <c r="G177" s="56">
        <v>1725652.0000000007</v>
      </c>
      <c r="H177" s="56">
        <v>1780308</v>
      </c>
      <c r="I177" s="56">
        <v>1830058</v>
      </c>
      <c r="J177" s="56">
        <v>1876977.9999999993</v>
      </c>
      <c r="K177" s="56">
        <v>1921326.9999999998</v>
      </c>
      <c r="L177" s="56">
        <v>1964661</v>
      </c>
      <c r="M177" s="56">
        <v>2007942.0000000002</v>
      </c>
      <c r="N177" s="56">
        <v>2045006.9999999995</v>
      </c>
      <c r="O177" s="56">
        <v>2083075.0000000002</v>
      </c>
      <c r="P177" s="56">
        <v>2120478</v>
      </c>
      <c r="Q177" s="56">
        <v>2155614.0000000005</v>
      </c>
      <c r="R177" s="56">
        <v>2188317</v>
      </c>
      <c r="S177" s="56">
        <v>2220023.0000000005</v>
      </c>
      <c r="T177" s="56">
        <v>2251574</v>
      </c>
      <c r="U177" s="56">
        <v>2283031.0000000005</v>
      </c>
      <c r="V177" s="56">
        <v>2315457</v>
      </c>
      <c r="W177" s="56">
        <v>2349978</v>
      </c>
      <c r="X177" s="56">
        <v>2388551.0000000005</v>
      </c>
      <c r="Y177" s="56">
        <v>2429413.9999999995</v>
      </c>
      <c r="Z177" s="56">
        <v>2473285</v>
      </c>
      <c r="AA177" s="56">
        <v>2520759.9999999995</v>
      </c>
      <c r="AB177" s="56">
        <v>2572156.0000000005</v>
      </c>
      <c r="AC177" s="56">
        <v>2631642.9999999995</v>
      </c>
      <c r="AD177" s="56">
        <v>2692912.0000000005</v>
      </c>
      <c r="AE177" s="56">
        <v>2756283.9999999995</v>
      </c>
      <c r="AF177" s="56">
        <v>2821494.0000000005</v>
      </c>
      <c r="AG177" s="56">
        <v>2887710.0000000005</v>
      </c>
    </row>
    <row r="178" spans="1:33" x14ac:dyDescent="0.3">
      <c r="A178" s="369" t="s">
        <v>728</v>
      </c>
      <c r="B178" s="370" t="s">
        <v>210</v>
      </c>
      <c r="C178" s="56">
        <v>7774983.0000000009</v>
      </c>
      <c r="D178" s="56">
        <v>7991170.9999999981</v>
      </c>
      <c r="E178" s="56">
        <v>8217999.0000000019</v>
      </c>
      <c r="F178" s="56">
        <v>8455193.0000000019</v>
      </c>
      <c r="G178" s="56">
        <v>8703092.9999999963</v>
      </c>
      <c r="H178" s="56">
        <v>8961062.0000000019</v>
      </c>
      <c r="I178" s="56">
        <v>9204918.0000000019</v>
      </c>
      <c r="J178" s="56">
        <v>9465086.0000000019</v>
      </c>
      <c r="K178" s="56">
        <v>9739019.0000000019</v>
      </c>
      <c r="L178" s="56">
        <v>10023251</v>
      </c>
      <c r="M178" s="56">
        <v>10317327.000000002</v>
      </c>
      <c r="N178" s="56">
        <v>10622564</v>
      </c>
      <c r="O178" s="56">
        <v>10942456.000000002</v>
      </c>
      <c r="P178" s="56">
        <v>11277356.000000002</v>
      </c>
      <c r="Q178" s="56">
        <v>11629209.999999998</v>
      </c>
      <c r="R178" s="56">
        <v>11999276.000000004</v>
      </c>
      <c r="S178" s="56">
        <v>12389814</v>
      </c>
      <c r="T178" s="56">
        <v>12794700.999999998</v>
      </c>
      <c r="U178" s="56">
        <v>13215903</v>
      </c>
      <c r="V178" s="56">
        <v>13655243</v>
      </c>
      <c r="W178" s="56">
        <v>14112535.000000002</v>
      </c>
      <c r="X178" s="56">
        <v>14577595.999999996</v>
      </c>
      <c r="Y178" s="56">
        <v>15062053</v>
      </c>
      <c r="Z178" s="56">
        <v>15562151.999999998</v>
      </c>
      <c r="AA178" s="56">
        <v>16071947.999999993</v>
      </c>
      <c r="AB178" s="56">
        <v>16587953.000000009</v>
      </c>
      <c r="AC178" s="56">
        <v>17107019</v>
      </c>
      <c r="AD178" s="56">
        <v>17633546</v>
      </c>
      <c r="AE178" s="56">
        <v>18167929.000000004</v>
      </c>
      <c r="AF178" s="56">
        <v>18712089</v>
      </c>
      <c r="AG178" s="56">
        <v>19267057.000000007</v>
      </c>
    </row>
    <row r="179" spans="1:33" x14ac:dyDescent="0.3">
      <c r="A179" s="369" t="s">
        <v>873</v>
      </c>
      <c r="B179" s="370" t="s">
        <v>873</v>
      </c>
      <c r="C179" s="56">
        <v>527005</v>
      </c>
      <c r="D179" s="56">
        <v>529843</v>
      </c>
      <c r="E179" s="56">
        <v>531075</v>
      </c>
      <c r="F179" s="56">
        <v>531216.00000000012</v>
      </c>
      <c r="G179" s="56">
        <v>531117.00000000023</v>
      </c>
      <c r="H179" s="56">
        <v>531233.00000000012</v>
      </c>
      <c r="I179" s="56">
        <v>531639.00000000012</v>
      </c>
      <c r="J179" s="56">
        <v>532403.99999999988</v>
      </c>
      <c r="K179" s="56">
        <v>533165.00000000023</v>
      </c>
      <c r="L179" s="56">
        <v>533340</v>
      </c>
      <c r="M179" s="56">
        <v>532613.99999999988</v>
      </c>
      <c r="N179" s="56">
        <v>531728.99999999988</v>
      </c>
      <c r="O179" s="56">
        <v>529693.00000000012</v>
      </c>
      <c r="P179" s="56">
        <v>526765</v>
      </c>
      <c r="Q179" s="56">
        <v>523462</v>
      </c>
      <c r="R179" s="56">
        <v>520076</v>
      </c>
      <c r="S179" s="56">
        <v>516520.99999999994</v>
      </c>
      <c r="T179" s="56">
        <v>513227.99999999994</v>
      </c>
      <c r="U179" s="56">
        <v>510012</v>
      </c>
      <c r="V179" s="56">
        <v>506567</v>
      </c>
      <c r="W179" s="56">
        <v>502765.00000000012</v>
      </c>
      <c r="X179" s="56">
        <v>499044.00000000006</v>
      </c>
      <c r="Y179" s="56">
        <v>494998.00000000006</v>
      </c>
      <c r="Z179" s="56">
        <v>490713</v>
      </c>
      <c r="AA179" s="56">
        <v>486350.00000000012</v>
      </c>
      <c r="AB179" s="56">
        <v>481973.99999999994</v>
      </c>
      <c r="AC179" s="56">
        <v>477716.00000000012</v>
      </c>
      <c r="AD179" s="56">
        <v>473389</v>
      </c>
      <c r="AE179" s="56">
        <v>468941.99999999988</v>
      </c>
      <c r="AF179" s="56">
        <v>464270.00000000012</v>
      </c>
      <c r="AG179" s="56">
        <v>459280.99999999994</v>
      </c>
    </row>
    <row r="180" spans="1:33" x14ac:dyDescent="0.3">
      <c r="A180" s="369" t="s">
        <v>312</v>
      </c>
      <c r="B180" s="370" t="s">
        <v>312</v>
      </c>
      <c r="C180" s="56">
        <v>18377260</v>
      </c>
      <c r="D180" s="56">
        <v>18572892.999999996</v>
      </c>
      <c r="E180" s="56">
        <v>18722104.999999993</v>
      </c>
      <c r="F180" s="56">
        <v>18829929</v>
      </c>
      <c r="G180" s="56">
        <v>18905397.999999993</v>
      </c>
      <c r="H180" s="56">
        <v>18954106.000000007</v>
      </c>
      <c r="I180" s="56">
        <v>18975836</v>
      </c>
      <c r="J180" s="56">
        <v>18965387.000000007</v>
      </c>
      <c r="K180" s="56">
        <v>18928522</v>
      </c>
      <c r="L180" s="56">
        <v>18870695.999999996</v>
      </c>
      <c r="M180" s="56">
        <v>18794563.000000004</v>
      </c>
      <c r="N180" s="56">
        <v>18657251</v>
      </c>
      <c r="O180" s="56">
        <v>18522538.999999996</v>
      </c>
      <c r="P180" s="56">
        <v>18385320.999999996</v>
      </c>
      <c r="Q180" s="56">
        <v>18236921</v>
      </c>
      <c r="R180" s="56">
        <v>18072594.999999996</v>
      </c>
      <c r="S180" s="56">
        <v>17926178.000000004</v>
      </c>
      <c r="T180" s="56">
        <v>17757030</v>
      </c>
      <c r="U180" s="56">
        <v>17570413</v>
      </c>
      <c r="V180" s="56">
        <v>17375157.000000004</v>
      </c>
      <c r="W180" s="56">
        <v>17176696.999999996</v>
      </c>
      <c r="X180" s="56">
        <v>16985388</v>
      </c>
      <c r="Y180" s="56">
        <v>16793246</v>
      </c>
      <c r="Z180" s="56">
        <v>16600678</v>
      </c>
      <c r="AA180" s="56">
        <v>16406825</v>
      </c>
      <c r="AB180" s="56">
        <v>16211504.000000006</v>
      </c>
      <c r="AC180" s="56">
        <v>16032019.999999996</v>
      </c>
      <c r="AD180" s="56">
        <v>15853212</v>
      </c>
      <c r="AE180" s="56">
        <v>15677381</v>
      </c>
      <c r="AF180" s="56">
        <v>15507913.999999998</v>
      </c>
      <c r="AG180" s="56">
        <v>15346367.000000002</v>
      </c>
    </row>
    <row r="181" spans="1:33" x14ac:dyDescent="0.3">
      <c r="A181" s="369" t="s">
        <v>89</v>
      </c>
      <c r="B181" s="370" t="s">
        <v>89</v>
      </c>
      <c r="C181" s="56">
        <v>188285.99999999997</v>
      </c>
      <c r="D181" s="56">
        <v>192248.99999999997</v>
      </c>
      <c r="E181" s="56">
        <v>197069.00000000003</v>
      </c>
      <c r="F181" s="56">
        <v>202625</v>
      </c>
      <c r="G181" s="56">
        <v>208743</v>
      </c>
      <c r="H181" s="56">
        <v>215185</v>
      </c>
      <c r="I181" s="56">
        <v>220659</v>
      </c>
      <c r="J181" s="56">
        <v>226742.99999999997</v>
      </c>
      <c r="K181" s="56">
        <v>233200</v>
      </c>
      <c r="L181" s="56">
        <v>239650</v>
      </c>
      <c r="M181" s="56">
        <v>245989.99999999994</v>
      </c>
      <c r="N181" s="56">
        <v>253557.00000000009</v>
      </c>
      <c r="O181" s="56">
        <v>260716.00000000012</v>
      </c>
      <c r="P181" s="56">
        <v>267744</v>
      </c>
      <c r="Q181" s="56">
        <v>275059</v>
      </c>
      <c r="R181" s="56">
        <v>282817</v>
      </c>
      <c r="S181" s="56">
        <v>291198</v>
      </c>
      <c r="T181" s="56">
        <v>299701.99999999994</v>
      </c>
      <c r="U181" s="56">
        <v>308230.00000000006</v>
      </c>
      <c r="V181" s="56">
        <v>316655.99999999994</v>
      </c>
      <c r="W181" s="56">
        <v>324861.99999999994</v>
      </c>
      <c r="X181" s="56">
        <v>331866.00000000012</v>
      </c>
      <c r="Y181" s="56">
        <v>339254</v>
      </c>
      <c r="Z181" s="56">
        <v>346831.00000000006</v>
      </c>
      <c r="AA181" s="56">
        <v>354400.00000000017</v>
      </c>
      <c r="AB181" s="56">
        <v>361941.00000000012</v>
      </c>
      <c r="AC181" s="56">
        <v>370189.99999999988</v>
      </c>
      <c r="AD181" s="56">
        <v>378193</v>
      </c>
      <c r="AE181" s="56">
        <v>386107</v>
      </c>
      <c r="AF181" s="56">
        <v>394191.99999999988</v>
      </c>
      <c r="AG181" s="56">
        <v>402528.99999999994</v>
      </c>
    </row>
    <row r="182" spans="1:33" x14ac:dyDescent="0.3">
      <c r="A182" s="369" t="s">
        <v>90</v>
      </c>
      <c r="B182" s="370" t="s">
        <v>90</v>
      </c>
      <c r="C182" s="56">
        <v>1178338.0000000002</v>
      </c>
      <c r="D182" s="56">
        <v>1214014.0000000005</v>
      </c>
      <c r="E182" s="56">
        <v>1249328.0000000005</v>
      </c>
      <c r="F182" s="56">
        <v>1284548.0000000002</v>
      </c>
      <c r="G182" s="56">
        <v>1320057</v>
      </c>
      <c r="H182" s="56">
        <v>1356235</v>
      </c>
      <c r="I182" s="56">
        <v>1391822</v>
      </c>
      <c r="J182" s="56">
        <v>1428676.0000000007</v>
      </c>
      <c r="K182" s="56">
        <v>1466793.0000000002</v>
      </c>
      <c r="L182" s="56">
        <v>1506323.9999999998</v>
      </c>
      <c r="M182" s="56">
        <v>1547395.0000000005</v>
      </c>
      <c r="N182" s="56">
        <v>1588808</v>
      </c>
      <c r="O182" s="56">
        <v>1632248</v>
      </c>
      <c r="P182" s="56">
        <v>1677648</v>
      </c>
      <c r="Q182" s="56">
        <v>1724876.0000000002</v>
      </c>
      <c r="R182" s="56">
        <v>1773816.9999999995</v>
      </c>
      <c r="S182" s="56">
        <v>1823850.0000000005</v>
      </c>
      <c r="T182" s="56">
        <v>1875423.0000000002</v>
      </c>
      <c r="U182" s="56">
        <v>1928661</v>
      </c>
      <c r="V182" s="56">
        <v>1983590.0000000002</v>
      </c>
      <c r="W182" s="56">
        <v>2040067.9999999998</v>
      </c>
      <c r="X182" s="56">
        <v>2096905.0000000002</v>
      </c>
      <c r="Y182" s="56">
        <v>2155198.9999999995</v>
      </c>
      <c r="Z182" s="56">
        <v>2214673</v>
      </c>
      <c r="AA182" s="56">
        <v>2274839.0000000005</v>
      </c>
      <c r="AB182" s="56">
        <v>2335319.9999999995</v>
      </c>
      <c r="AC182" s="56">
        <v>2394878</v>
      </c>
      <c r="AD182" s="56">
        <v>2454989.0000000009</v>
      </c>
      <c r="AE182" s="56">
        <v>2515495.9999999995</v>
      </c>
      <c r="AF182" s="56">
        <v>2576238.9999999995</v>
      </c>
      <c r="AG182" s="56">
        <v>2637144.9999999991</v>
      </c>
    </row>
    <row r="183" spans="1:33" x14ac:dyDescent="0.3">
      <c r="A183" s="369" t="s">
        <v>407</v>
      </c>
      <c r="B183" s="370" t="s">
        <v>407</v>
      </c>
      <c r="C183" s="56">
        <v>22737.000000000004</v>
      </c>
      <c r="D183" s="56">
        <v>23097</v>
      </c>
      <c r="E183" s="56">
        <v>23362</v>
      </c>
      <c r="F183" s="56">
        <v>23581.999999999996</v>
      </c>
      <c r="G183" s="56">
        <v>23836.999999999989</v>
      </c>
      <c r="H183" s="56">
        <v>24145.000000000004</v>
      </c>
      <c r="I183" s="56">
        <v>24363.999999999996</v>
      </c>
      <c r="J183" s="56">
        <v>24602.000000000007</v>
      </c>
      <c r="K183" s="56">
        <v>24842.999999999993</v>
      </c>
      <c r="L183" s="56">
        <v>25029.000000000011</v>
      </c>
      <c r="M183" s="56">
        <v>25128</v>
      </c>
      <c r="N183" s="56">
        <v>25046</v>
      </c>
      <c r="O183" s="56">
        <v>24854.999999999996</v>
      </c>
      <c r="P183" s="56">
        <v>24644</v>
      </c>
      <c r="Q183" s="56">
        <v>24488.000000000004</v>
      </c>
      <c r="R183" s="56">
        <v>24439.999999999993</v>
      </c>
      <c r="S183" s="56">
        <v>24558</v>
      </c>
      <c r="T183" s="56">
        <v>24817.999999999996</v>
      </c>
      <c r="U183" s="56">
        <v>25161.000000000004</v>
      </c>
      <c r="V183" s="56">
        <v>25503.000000000007</v>
      </c>
      <c r="W183" s="56">
        <v>25809</v>
      </c>
      <c r="X183" s="56">
        <v>26111.000000000004</v>
      </c>
      <c r="Y183" s="56">
        <v>26370</v>
      </c>
      <c r="Z183" s="56">
        <v>26589.999999999996</v>
      </c>
      <c r="AA183" s="56">
        <v>26822.000000000004</v>
      </c>
      <c r="AB183" s="56">
        <v>27088.000000000004</v>
      </c>
      <c r="AC183" s="56">
        <v>27383.000000000004</v>
      </c>
      <c r="AD183" s="56">
        <v>27696</v>
      </c>
      <c r="AE183" s="56">
        <v>28012.999999999996</v>
      </c>
      <c r="AF183" s="56">
        <v>28299.000000000004</v>
      </c>
      <c r="AG183" s="56">
        <v>28553.999999999996</v>
      </c>
    </row>
    <row r="184" spans="1:33" x14ac:dyDescent="0.3">
      <c r="A184" s="369" t="s">
        <v>377</v>
      </c>
      <c r="B184" s="370" t="s">
        <v>377</v>
      </c>
      <c r="C184" s="56">
        <v>353284.00000000017</v>
      </c>
      <c r="D184" s="56">
        <v>357769</v>
      </c>
      <c r="E184" s="56">
        <v>361717.00000000012</v>
      </c>
      <c r="F184" s="56">
        <v>365008.99999999994</v>
      </c>
      <c r="G184" s="56">
        <v>367561.00000000006</v>
      </c>
      <c r="H184" s="56">
        <v>369311</v>
      </c>
      <c r="I184" s="56">
        <v>370098.00000000006</v>
      </c>
      <c r="J184" s="56">
        <v>370198</v>
      </c>
      <c r="K184" s="56">
        <v>369568.00000000006</v>
      </c>
      <c r="L184" s="56">
        <v>368164</v>
      </c>
      <c r="M184" s="56">
        <v>366078</v>
      </c>
      <c r="N184" s="56">
        <v>364206</v>
      </c>
      <c r="O184" s="56">
        <v>361843.00000000006</v>
      </c>
      <c r="P184" s="56">
        <v>359262</v>
      </c>
      <c r="Q184" s="56">
        <v>356914.00000000006</v>
      </c>
      <c r="R184" s="56">
        <v>355087.00000000006</v>
      </c>
      <c r="S184" s="56">
        <v>353942</v>
      </c>
      <c r="T184" s="56">
        <v>353314.99999999994</v>
      </c>
      <c r="U184" s="56">
        <v>353058.00000000006</v>
      </c>
      <c r="V184" s="56">
        <v>352878.99999999994</v>
      </c>
      <c r="W184" s="56">
        <v>352586.00000000006</v>
      </c>
      <c r="X184" s="56">
        <v>352466</v>
      </c>
      <c r="Y184" s="56">
        <v>352197.99999999994</v>
      </c>
      <c r="Z184" s="56">
        <v>351795</v>
      </c>
      <c r="AA184" s="56">
        <v>351302</v>
      </c>
      <c r="AB184" s="56">
        <v>350701.99999999994</v>
      </c>
      <c r="AC184" s="56">
        <v>350180</v>
      </c>
      <c r="AD184" s="56">
        <v>349537.00000000012</v>
      </c>
      <c r="AE184" s="56">
        <v>348530.99999999994</v>
      </c>
      <c r="AF184" s="56">
        <v>346815.99999999988</v>
      </c>
      <c r="AG184" s="56">
        <v>344184.99999999994</v>
      </c>
    </row>
    <row r="185" spans="1:33" x14ac:dyDescent="0.3">
      <c r="A185" s="369" t="s">
        <v>295</v>
      </c>
      <c r="B185" s="370" t="s">
        <v>295</v>
      </c>
      <c r="C185" s="56">
        <v>2652886.0000000005</v>
      </c>
      <c r="D185" s="56">
        <v>2704303</v>
      </c>
      <c r="E185" s="56">
        <v>2751750</v>
      </c>
      <c r="F185" s="56">
        <v>2795305.0000000009</v>
      </c>
      <c r="G185" s="56">
        <v>2835134.0000000005</v>
      </c>
      <c r="H185" s="56">
        <v>2871502</v>
      </c>
      <c r="I185" s="56">
        <v>2908940.0000000005</v>
      </c>
      <c r="J185" s="56">
        <v>2943266</v>
      </c>
      <c r="K185" s="56">
        <v>2973514.9999999991</v>
      </c>
      <c r="L185" s="56">
        <v>2998253.9999999995</v>
      </c>
      <c r="M185" s="56">
        <v>3016369</v>
      </c>
      <c r="N185" s="56">
        <v>3028307.0000000005</v>
      </c>
      <c r="O185" s="56">
        <v>3033609.0000000009</v>
      </c>
      <c r="P185" s="56">
        <v>3033733.0000000005</v>
      </c>
      <c r="Q185" s="56">
        <v>3031304</v>
      </c>
      <c r="R185" s="56">
        <v>3028133</v>
      </c>
      <c r="S185" s="56">
        <v>3022781.0000000005</v>
      </c>
      <c r="T185" s="56">
        <v>3019602.0000000005</v>
      </c>
      <c r="U185" s="56">
        <v>3017491.9999999991</v>
      </c>
      <c r="V185" s="56">
        <v>3015200.9999999995</v>
      </c>
      <c r="W185" s="56">
        <v>3012680.0000000005</v>
      </c>
      <c r="X185" s="56">
        <v>3016565</v>
      </c>
      <c r="Y185" s="56">
        <v>3019207.0000000005</v>
      </c>
      <c r="Z185" s="56">
        <v>3021825.0000000005</v>
      </c>
      <c r="AA185" s="56">
        <v>3025952.0000000005</v>
      </c>
      <c r="AB185" s="56">
        <v>3031907</v>
      </c>
      <c r="AC185" s="56">
        <v>3040059</v>
      </c>
      <c r="AD185" s="56">
        <v>3049601.9999999995</v>
      </c>
      <c r="AE185" s="56">
        <v>3059282</v>
      </c>
      <c r="AF185" s="56">
        <v>3066541.0000000005</v>
      </c>
      <c r="AG185" s="56">
        <v>3069782</v>
      </c>
    </row>
    <row r="186" spans="1:33" x14ac:dyDescent="0.3">
      <c r="A186" s="369" t="s">
        <v>213</v>
      </c>
      <c r="B186" s="370" t="s">
        <v>213</v>
      </c>
      <c r="C186" s="56">
        <v>17156915</v>
      </c>
      <c r="D186" s="56">
        <v>17445834.000000007</v>
      </c>
      <c r="E186" s="56">
        <v>17730243</v>
      </c>
      <c r="F186" s="56">
        <v>18003215.999999996</v>
      </c>
      <c r="G186" s="56">
        <v>18257173</v>
      </c>
      <c r="H186" s="56">
        <v>18490384</v>
      </c>
      <c r="I186" s="56">
        <v>18718028</v>
      </c>
      <c r="J186" s="56">
        <v>18921431.999999996</v>
      </c>
      <c r="K186" s="56">
        <v>19116585.999999996</v>
      </c>
      <c r="L186" s="56">
        <v>19324158.000000004</v>
      </c>
      <c r="M186" s="56">
        <v>19553896.999999996</v>
      </c>
      <c r="N186" s="56">
        <v>19803968</v>
      </c>
      <c r="O186" s="56">
        <v>20071118</v>
      </c>
      <c r="P186" s="56">
        <v>20346687</v>
      </c>
      <c r="Q186" s="56">
        <v>20619277.999999996</v>
      </c>
      <c r="R186" s="56">
        <v>20881441.000000007</v>
      </c>
      <c r="S186" s="56">
        <v>21146804</v>
      </c>
      <c r="T186" s="56">
        <v>21408415.999999996</v>
      </c>
      <c r="U186" s="56">
        <v>21649872.999999996</v>
      </c>
      <c r="V186" s="56">
        <v>21848066.000000004</v>
      </c>
      <c r="W186" s="56">
        <v>21988684</v>
      </c>
      <c r="X186" s="56">
        <v>22081887</v>
      </c>
      <c r="Y186" s="56">
        <v>22107881.999999996</v>
      </c>
      <c r="Z186" s="56">
        <v>22086084.999999996</v>
      </c>
      <c r="AA186" s="56">
        <v>22045634</v>
      </c>
      <c r="AB186" s="56">
        <v>22005766.000000004</v>
      </c>
      <c r="AC186" s="56">
        <v>21984220.999999996</v>
      </c>
      <c r="AD186" s="56">
        <v>21962673</v>
      </c>
      <c r="AE186" s="56">
        <v>21940341.999999996</v>
      </c>
      <c r="AF186" s="56">
        <v>21912938</v>
      </c>
      <c r="AG186" s="56">
        <v>21878419.000000004</v>
      </c>
    </row>
    <row r="187" spans="1:33" x14ac:dyDescent="0.3">
      <c r="A187" s="370" t="s">
        <v>215</v>
      </c>
      <c r="B187" s="370" t="s">
        <v>215</v>
      </c>
      <c r="C187" s="56">
        <v>1204379.0000000005</v>
      </c>
      <c r="D187" s="56">
        <v>1232746</v>
      </c>
      <c r="E187" s="56">
        <v>1256965.9999999995</v>
      </c>
      <c r="F187" s="56">
        <v>1279101.0000000002</v>
      </c>
      <c r="G187" s="56">
        <v>1302104.0000000002</v>
      </c>
      <c r="H187" s="56">
        <v>1327321.0000000002</v>
      </c>
      <c r="I187" s="56">
        <v>1349099</v>
      </c>
      <c r="J187" s="56">
        <v>1375241.9999999998</v>
      </c>
      <c r="K187" s="56">
        <v>1403005</v>
      </c>
      <c r="L187" s="56">
        <v>1427735.9999999998</v>
      </c>
      <c r="M187" s="56">
        <v>1447014.0000000002</v>
      </c>
      <c r="N187" s="56">
        <v>1465853</v>
      </c>
      <c r="O187" s="56">
        <v>1477696.0000000002</v>
      </c>
      <c r="P187" s="56">
        <v>1485336.0000000002</v>
      </c>
      <c r="Q187" s="56">
        <v>1493886</v>
      </c>
      <c r="R187" s="56">
        <v>1505980.9999999995</v>
      </c>
      <c r="S187" s="56">
        <v>1514464</v>
      </c>
      <c r="T187" s="56">
        <v>1529414.9999999998</v>
      </c>
      <c r="U187" s="56">
        <v>1547831.0000000002</v>
      </c>
      <c r="V187" s="56">
        <v>1565053</v>
      </c>
      <c r="W187" s="56">
        <v>1579091.9999999998</v>
      </c>
      <c r="X187" s="56">
        <v>1596934.9999999998</v>
      </c>
      <c r="Y187" s="56">
        <v>1610238</v>
      </c>
      <c r="Z187" s="56">
        <v>1621785.9999999998</v>
      </c>
      <c r="AA187" s="56">
        <v>1635883.9999999998</v>
      </c>
      <c r="AB187" s="56">
        <v>1654454.9999999998</v>
      </c>
      <c r="AC187" s="56">
        <v>1675152.0000000002</v>
      </c>
      <c r="AD187" s="56">
        <v>1699639</v>
      </c>
      <c r="AE187" s="56">
        <v>1726460</v>
      </c>
      <c r="AF187" s="56">
        <v>1752679</v>
      </c>
      <c r="AG187" s="56">
        <v>1776500.9999999998</v>
      </c>
    </row>
    <row r="188" spans="1:33" x14ac:dyDescent="0.3">
      <c r="A188" s="369" t="s">
        <v>47</v>
      </c>
      <c r="B188" s="370" t="s">
        <v>47</v>
      </c>
      <c r="C188" s="56">
        <v>5189745.9999999981</v>
      </c>
      <c r="D188" s="56">
        <v>5352991</v>
      </c>
      <c r="E188" s="56">
        <v>5527578.9999999981</v>
      </c>
      <c r="F188" s="56">
        <v>5713963.0000000009</v>
      </c>
      <c r="G188" s="56">
        <v>5913028.0000000009</v>
      </c>
      <c r="H188" s="56">
        <v>6125483</v>
      </c>
      <c r="I188" s="56">
        <v>6343324.0000000019</v>
      </c>
      <c r="J188" s="56">
        <v>6577192</v>
      </c>
      <c r="K188" s="56">
        <v>6825842.0000000009</v>
      </c>
      <c r="L188" s="56">
        <v>7087300.0000000009</v>
      </c>
      <c r="M188" s="56">
        <v>7360472.0000000009</v>
      </c>
      <c r="N188" s="56">
        <v>7631883.0000000019</v>
      </c>
      <c r="O188" s="56">
        <v>7916930.0000000009</v>
      </c>
      <c r="P188" s="56">
        <v>8219192.0000000009</v>
      </c>
      <c r="Q188" s="56">
        <v>8543622.0000000019</v>
      </c>
      <c r="R188" s="56">
        <v>8892665.9999999981</v>
      </c>
      <c r="S188" s="56">
        <v>9267461.0000000056</v>
      </c>
      <c r="T188" s="56">
        <v>9670085.0000000019</v>
      </c>
      <c r="U188" s="56">
        <v>10090086.999999998</v>
      </c>
      <c r="V188" s="56">
        <v>10515537</v>
      </c>
      <c r="W188" s="56">
        <v>10939482.999999998</v>
      </c>
      <c r="X188" s="56">
        <v>11346683</v>
      </c>
      <c r="Y188" s="56">
        <v>11748415.000000002</v>
      </c>
      <c r="Z188" s="56">
        <v>12151471.999999998</v>
      </c>
      <c r="AA188" s="56">
        <v>12563835.000000002</v>
      </c>
      <c r="AB188" s="56">
        <v>12990351.999999996</v>
      </c>
      <c r="AC188" s="56">
        <v>13432905</v>
      </c>
      <c r="AD188" s="56">
        <v>13886067</v>
      </c>
      <c r="AE188" s="56">
        <v>14348951.999999998</v>
      </c>
      <c r="AF188" s="56">
        <v>14820525</v>
      </c>
      <c r="AG188" s="56">
        <v>15298812</v>
      </c>
    </row>
    <row r="189" spans="1:33" x14ac:dyDescent="0.3">
      <c r="A189" s="369" t="s">
        <v>217</v>
      </c>
      <c r="B189" s="370" t="s">
        <v>217</v>
      </c>
      <c r="C189" s="56">
        <v>12708223.999999998</v>
      </c>
      <c r="D189" s="56">
        <v>12636752</v>
      </c>
      <c r="E189" s="56">
        <v>12544070.000000004</v>
      </c>
      <c r="F189" s="56">
        <v>12437068.000000002</v>
      </c>
      <c r="G189" s="56">
        <v>12325651</v>
      </c>
      <c r="H189" s="56">
        <v>12216124</v>
      </c>
      <c r="I189" s="56">
        <v>12114451.000000002</v>
      </c>
      <c r="J189" s="56">
        <v>12016120.000000004</v>
      </c>
      <c r="K189" s="56">
        <v>11914490</v>
      </c>
      <c r="L189" s="56">
        <v>11804152.000000002</v>
      </c>
      <c r="M189" s="56">
        <v>11681179.999999998</v>
      </c>
      <c r="N189" s="56">
        <v>11512729.999999998</v>
      </c>
      <c r="O189" s="56">
        <v>11342956.999999998</v>
      </c>
      <c r="P189" s="56">
        <v>11172079.000000002</v>
      </c>
      <c r="Q189" s="56">
        <v>11003596</v>
      </c>
      <c r="R189" s="56">
        <v>10843050.999999998</v>
      </c>
      <c r="S189" s="56">
        <v>10698691</v>
      </c>
      <c r="T189" s="56">
        <v>10562984.000000004</v>
      </c>
      <c r="U189" s="56">
        <v>10436673.999999998</v>
      </c>
      <c r="V189" s="56">
        <v>10319166.000000004</v>
      </c>
      <c r="W189" s="56">
        <v>10208696.000000004</v>
      </c>
      <c r="X189" s="56">
        <v>10105415</v>
      </c>
      <c r="Y189" s="56">
        <v>10004962</v>
      </c>
      <c r="Z189" s="56">
        <v>9908369.9999999963</v>
      </c>
      <c r="AA189" s="56">
        <v>9815094</v>
      </c>
      <c r="AB189" s="56">
        <v>9723035.0000000019</v>
      </c>
      <c r="AC189" s="56">
        <v>9621924.9999999981</v>
      </c>
      <c r="AD189" s="56">
        <v>9523282.9999999981</v>
      </c>
      <c r="AE189" s="56">
        <v>9421678</v>
      </c>
      <c r="AF189" s="56">
        <v>9310576</v>
      </c>
      <c r="AG189" s="56">
        <v>9186779</v>
      </c>
    </row>
    <row r="190" spans="1:33" x14ac:dyDescent="0.3">
      <c r="A190" s="369" t="s">
        <v>322</v>
      </c>
      <c r="B190" s="370" t="s">
        <v>322</v>
      </c>
      <c r="C190" s="56">
        <v>575327</v>
      </c>
      <c r="D190" s="56">
        <v>625502.99999999977</v>
      </c>
      <c r="E190" s="56">
        <v>677133</v>
      </c>
      <c r="F190" s="56">
        <v>733717.00000000023</v>
      </c>
      <c r="G190" s="56">
        <v>800720.00000000023</v>
      </c>
      <c r="H190" s="56">
        <v>881576.99999999988</v>
      </c>
      <c r="I190" s="56">
        <v>990540</v>
      </c>
      <c r="J190" s="56">
        <v>1114709.9999999998</v>
      </c>
      <c r="K190" s="56">
        <v>1245897</v>
      </c>
      <c r="L190" s="56">
        <v>1374439</v>
      </c>
      <c r="M190" s="56">
        <v>1493916.9999999995</v>
      </c>
      <c r="N190" s="56">
        <v>1597407</v>
      </c>
      <c r="O190" s="56">
        <v>1691646.9999999998</v>
      </c>
      <c r="P190" s="56">
        <v>1774618.0000000002</v>
      </c>
      <c r="Q190" s="56">
        <v>1846300.0000000002</v>
      </c>
      <c r="R190" s="56">
        <v>1908107.9999999998</v>
      </c>
      <c r="S190" s="56">
        <v>1944122</v>
      </c>
      <c r="T190" s="56">
        <v>1973649</v>
      </c>
      <c r="U190" s="56">
        <v>1998194.9999999998</v>
      </c>
      <c r="V190" s="56">
        <v>2020896.0000000002</v>
      </c>
      <c r="W190" s="56">
        <v>2045066.0000000002</v>
      </c>
      <c r="X190" s="56">
        <v>2061100.0000000005</v>
      </c>
      <c r="Y190" s="56">
        <v>2077130.0000000005</v>
      </c>
      <c r="Z190" s="56">
        <v>2093687</v>
      </c>
      <c r="AA190" s="56">
        <v>2111776</v>
      </c>
      <c r="AB190" s="56">
        <v>2132281.9999999995</v>
      </c>
      <c r="AC190" s="56">
        <v>2140695.0000000005</v>
      </c>
      <c r="AD190" s="56">
        <v>2152318</v>
      </c>
      <c r="AE190" s="56">
        <v>2165386.9999999995</v>
      </c>
      <c r="AF190" s="56">
        <v>2178138.0000000009</v>
      </c>
      <c r="AG190" s="56">
        <v>2190757.9999999995</v>
      </c>
    </row>
    <row r="191" spans="1:33" x14ac:dyDescent="0.3">
      <c r="A191" s="369" t="s">
        <v>344</v>
      </c>
      <c r="B191" s="370" t="s">
        <v>344</v>
      </c>
      <c r="C191" s="56">
        <v>14148752</v>
      </c>
      <c r="D191" s="56">
        <v>14193888.999999996</v>
      </c>
      <c r="E191" s="56">
        <v>14262395.000000002</v>
      </c>
      <c r="F191" s="56">
        <v>14350954.000000002</v>
      </c>
      <c r="G191" s="56">
        <v>14454273.999999998</v>
      </c>
      <c r="H191" s="56">
        <v>14568181.999999994</v>
      </c>
      <c r="I191" s="56">
        <v>14700707.999999998</v>
      </c>
      <c r="J191" s="56">
        <v>14842794</v>
      </c>
      <c r="K191" s="56">
        <v>14978886</v>
      </c>
      <c r="L191" s="56">
        <v>15093278</v>
      </c>
      <c r="M191" s="56">
        <v>15176541.000000006</v>
      </c>
      <c r="N191" s="56">
        <v>15199583.999999996</v>
      </c>
      <c r="O191" s="56">
        <v>15204982.000000002</v>
      </c>
      <c r="P191" s="56">
        <v>15192409.999999998</v>
      </c>
      <c r="Q191" s="56">
        <v>15165305.999999996</v>
      </c>
      <c r="R191" s="56">
        <v>15129159</v>
      </c>
      <c r="S191" s="56">
        <v>15099883</v>
      </c>
      <c r="T191" s="56">
        <v>15065707.999999998</v>
      </c>
      <c r="U191" s="56">
        <v>15032436</v>
      </c>
      <c r="V191" s="56">
        <v>15008714.999999996</v>
      </c>
      <c r="W191" s="56">
        <v>14998206.000000004</v>
      </c>
      <c r="X191" s="56">
        <v>14989621</v>
      </c>
      <c r="Y191" s="56">
        <v>14989930.000000002</v>
      </c>
      <c r="Z191" s="56">
        <v>14999541</v>
      </c>
      <c r="AA191" s="56">
        <v>15016557</v>
      </c>
      <c r="AB191" s="56">
        <v>15037908.000000002</v>
      </c>
      <c r="AC191" s="56">
        <v>15063458.999999998</v>
      </c>
      <c r="AD191" s="56">
        <v>15100558.000000002</v>
      </c>
      <c r="AE191" s="56">
        <v>15139893</v>
      </c>
      <c r="AF191" s="56">
        <v>15168525.000000002</v>
      </c>
      <c r="AG191" s="56">
        <v>15178711</v>
      </c>
    </row>
    <row r="192" spans="1:33" x14ac:dyDescent="0.3">
      <c r="A192" s="369" t="s">
        <v>378</v>
      </c>
      <c r="B192" s="370" t="s">
        <v>378</v>
      </c>
      <c r="C192" s="56">
        <v>27408.999999999996</v>
      </c>
      <c r="D192" s="56">
        <v>27451</v>
      </c>
      <c r="E192" s="56">
        <v>27383.999999999996</v>
      </c>
      <c r="F192" s="56">
        <v>27216.999999999993</v>
      </c>
      <c r="G192" s="56">
        <v>26996.999999999993</v>
      </c>
      <c r="H192" s="56">
        <v>26768.999999999993</v>
      </c>
      <c r="I192" s="56">
        <v>26468.000000000004</v>
      </c>
      <c r="J192" s="56">
        <v>26163.999999999993</v>
      </c>
      <c r="K192" s="56">
        <v>25823.999999999996</v>
      </c>
      <c r="L192" s="56">
        <v>25451</v>
      </c>
      <c r="M192" s="56">
        <v>25019.999999999996</v>
      </c>
      <c r="N192" s="56">
        <v>24540.999999999996</v>
      </c>
      <c r="O192" s="56">
        <v>24068</v>
      </c>
      <c r="P192" s="56">
        <v>23601</v>
      </c>
      <c r="Q192" s="56">
        <v>23125</v>
      </c>
      <c r="R192" s="56">
        <v>22654.000000000004</v>
      </c>
      <c r="S192" s="56">
        <v>22347</v>
      </c>
      <c r="T192" s="56">
        <v>22042</v>
      </c>
      <c r="U192" s="56">
        <v>21743</v>
      </c>
      <c r="V192" s="56">
        <v>21474.999999999996</v>
      </c>
      <c r="W192" s="56">
        <v>21235</v>
      </c>
      <c r="X192" s="56">
        <v>21077.000000000004</v>
      </c>
      <c r="Y192" s="56">
        <v>20941.000000000004</v>
      </c>
      <c r="Z192" s="56">
        <v>20826.999999999993</v>
      </c>
      <c r="AA192" s="56">
        <v>20709.999999999996</v>
      </c>
      <c r="AB192" s="56">
        <v>20586.000000000004</v>
      </c>
      <c r="AC192" s="56">
        <v>20482.000000000007</v>
      </c>
      <c r="AD192" s="56">
        <v>20379.999999999996</v>
      </c>
      <c r="AE192" s="56">
        <v>20262</v>
      </c>
      <c r="AF192" s="56">
        <v>20126</v>
      </c>
      <c r="AG192" s="56">
        <v>19969</v>
      </c>
    </row>
    <row r="193" spans="1:33" x14ac:dyDescent="0.3">
      <c r="A193" s="369" t="s">
        <v>387</v>
      </c>
      <c r="B193" s="370" t="s">
        <v>387</v>
      </c>
      <c r="C193" s="56">
        <v>805934</v>
      </c>
      <c r="D193" s="56">
        <v>806995</v>
      </c>
      <c r="E193" s="56">
        <v>806792.00000000023</v>
      </c>
      <c r="F193" s="56">
        <v>805944.00000000012</v>
      </c>
      <c r="G193" s="56">
        <v>805174.00000000012</v>
      </c>
      <c r="H193" s="56">
        <v>804887.99999999988</v>
      </c>
      <c r="I193" s="56">
        <v>806178.00000000012</v>
      </c>
      <c r="J193" s="56">
        <v>808199.99999999977</v>
      </c>
      <c r="K193" s="56">
        <v>810623</v>
      </c>
      <c r="L193" s="56">
        <v>812852.99999999988</v>
      </c>
      <c r="M193" s="56">
        <v>814475</v>
      </c>
      <c r="N193" s="56">
        <v>816691.99999999988</v>
      </c>
      <c r="O193" s="56">
        <v>818274.00000000012</v>
      </c>
      <c r="P193" s="56">
        <v>819461.99999999988</v>
      </c>
      <c r="Q193" s="56">
        <v>820736.99999999988</v>
      </c>
      <c r="R193" s="56">
        <v>822319</v>
      </c>
      <c r="S193" s="56">
        <v>824231.99999999988</v>
      </c>
      <c r="T193" s="56">
        <v>826693.00000000023</v>
      </c>
      <c r="U193" s="56">
        <v>829204.00000000035</v>
      </c>
      <c r="V193" s="56">
        <v>831009.00000000012</v>
      </c>
      <c r="W193" s="56">
        <v>831675.00000000012</v>
      </c>
      <c r="X193" s="56">
        <v>832026.00000000012</v>
      </c>
      <c r="Y193" s="56">
        <v>831439</v>
      </c>
      <c r="Z193" s="56">
        <v>830093.00000000023</v>
      </c>
      <c r="AA193" s="56">
        <v>828313.00000000012</v>
      </c>
      <c r="AB193" s="56">
        <v>826285.99999999988</v>
      </c>
      <c r="AC193" s="56">
        <v>824608.00000000012</v>
      </c>
      <c r="AD193" s="56">
        <v>822625.00000000012</v>
      </c>
      <c r="AE193" s="56">
        <v>820573</v>
      </c>
      <c r="AF193" s="56">
        <v>818773.99999999977</v>
      </c>
      <c r="AG193" s="56">
        <v>817385</v>
      </c>
    </row>
    <row r="194" spans="1:33" x14ac:dyDescent="0.3">
      <c r="A194" s="369" t="s">
        <v>91</v>
      </c>
      <c r="B194" s="370" t="s">
        <v>91</v>
      </c>
      <c r="C194" s="56">
        <v>6425870.9999999981</v>
      </c>
      <c r="D194" s="56">
        <v>6617589</v>
      </c>
      <c r="E194" s="56">
        <v>6801193.9999999981</v>
      </c>
      <c r="F194" s="56">
        <v>6979814.9999999991</v>
      </c>
      <c r="G194" s="56">
        <v>7156688.9999999981</v>
      </c>
      <c r="H194" s="56">
        <v>7332219.0000000009</v>
      </c>
      <c r="I194" s="56">
        <v>7507157.0000000028</v>
      </c>
      <c r="J194" s="56">
        <v>7675163</v>
      </c>
      <c r="K194" s="56">
        <v>7834658</v>
      </c>
      <c r="L194" s="56">
        <v>7983559.9999999991</v>
      </c>
      <c r="M194" s="56">
        <v>8119927.9999999991</v>
      </c>
      <c r="N194" s="56">
        <v>8227147.9999999991</v>
      </c>
      <c r="O194" s="56">
        <v>8330447</v>
      </c>
      <c r="P194" s="56">
        <v>8426321</v>
      </c>
      <c r="Q194" s="56">
        <v>8512354.0000000019</v>
      </c>
      <c r="R194" s="56">
        <v>8589692.9999999981</v>
      </c>
      <c r="S194" s="56">
        <v>8667603.9999999981</v>
      </c>
      <c r="T194" s="56">
        <v>8737339.9999999981</v>
      </c>
      <c r="U194" s="56">
        <v>8802321</v>
      </c>
      <c r="V194" s="56">
        <v>8869184</v>
      </c>
      <c r="W194" s="56">
        <v>8941715</v>
      </c>
      <c r="X194" s="56">
        <v>9017831.9999999981</v>
      </c>
      <c r="Y194" s="56">
        <v>9101542.0000000019</v>
      </c>
      <c r="Z194" s="56">
        <v>9191390.0000000019</v>
      </c>
      <c r="AA194" s="56">
        <v>9283249.9999999981</v>
      </c>
      <c r="AB194" s="56">
        <v>9374740.9999999981</v>
      </c>
      <c r="AC194" s="56">
        <v>9479592.9999999963</v>
      </c>
      <c r="AD194" s="56">
        <v>9579332.9999999981</v>
      </c>
      <c r="AE194" s="56">
        <v>9675381</v>
      </c>
      <c r="AF194" s="56">
        <v>9769196.9999999981</v>
      </c>
      <c r="AG194" s="56">
        <v>9859817</v>
      </c>
    </row>
    <row r="195" spans="1:33" x14ac:dyDescent="0.3">
      <c r="A195" s="369" t="s">
        <v>399</v>
      </c>
      <c r="B195" s="370" t="s">
        <v>399</v>
      </c>
      <c r="C195" s="56">
        <v>44519.999999999993</v>
      </c>
      <c r="D195" s="56">
        <v>45799.000000000015</v>
      </c>
      <c r="E195" s="56">
        <v>47219.000000000015</v>
      </c>
      <c r="F195" s="56">
        <v>48715.000000000022</v>
      </c>
      <c r="G195" s="56">
        <v>50213.000000000007</v>
      </c>
      <c r="H195" s="56">
        <v>51674.000000000007</v>
      </c>
      <c r="I195" s="56">
        <v>53357.000000000007</v>
      </c>
      <c r="J195" s="56">
        <v>54922.999999999993</v>
      </c>
      <c r="K195" s="56">
        <v>56423</v>
      </c>
      <c r="L195" s="56">
        <v>57950</v>
      </c>
      <c r="M195" s="56">
        <v>59506.000000000015</v>
      </c>
      <c r="N195" s="56">
        <v>60878.000000000007</v>
      </c>
      <c r="O195" s="56">
        <v>62485</v>
      </c>
      <c r="P195" s="56">
        <v>64177.000000000007</v>
      </c>
      <c r="Q195" s="56">
        <v>65796.000000000015</v>
      </c>
      <c r="R195" s="56">
        <v>67339</v>
      </c>
      <c r="S195" s="56">
        <v>69109.999999999971</v>
      </c>
      <c r="T195" s="56">
        <v>70674.000000000015</v>
      </c>
      <c r="U195" s="56">
        <v>72201.000000000015</v>
      </c>
      <c r="V195" s="56">
        <v>73890.000000000015</v>
      </c>
      <c r="W195" s="56">
        <v>75817.999999999971</v>
      </c>
      <c r="X195" s="56">
        <v>77752.000000000015</v>
      </c>
      <c r="Y195" s="56">
        <v>79951.999999999985</v>
      </c>
      <c r="Z195" s="56">
        <v>82316.000000000015</v>
      </c>
      <c r="AA195" s="56">
        <v>84651.000000000029</v>
      </c>
      <c r="AB195" s="56">
        <v>86858</v>
      </c>
      <c r="AC195" s="56">
        <v>89041.999999999985</v>
      </c>
      <c r="AD195" s="56">
        <v>91101.000000000015</v>
      </c>
      <c r="AE195" s="56">
        <v>93087.000000000015</v>
      </c>
      <c r="AF195" s="56">
        <v>95105.000000000015</v>
      </c>
      <c r="AG195" s="56">
        <v>97216.999999999971</v>
      </c>
    </row>
    <row r="196" spans="1:33" x14ac:dyDescent="0.3">
      <c r="A196" s="369" t="s">
        <v>388</v>
      </c>
      <c r="B196" s="370" t="s">
        <v>729</v>
      </c>
      <c r="C196" s="56">
        <v>6335949.9999999981</v>
      </c>
      <c r="D196" s="56">
        <v>6480526.9999999991</v>
      </c>
      <c r="E196" s="56">
        <v>6627365</v>
      </c>
      <c r="F196" s="56">
        <v>6773626.0000000009</v>
      </c>
      <c r="G196" s="56">
        <v>6914593.9999999991</v>
      </c>
      <c r="H196" s="56">
        <v>7047161.9999999972</v>
      </c>
      <c r="I196" s="56">
        <v>7167069</v>
      </c>
      <c r="J196" s="56">
        <v>7276730.0000000009</v>
      </c>
      <c r="K196" s="56">
        <v>7378799</v>
      </c>
      <c r="L196" s="56">
        <v>7477663.9999999981</v>
      </c>
      <c r="M196" s="56">
        <v>7575577</v>
      </c>
      <c r="N196" s="56">
        <v>7682237.0000000009</v>
      </c>
      <c r="O196" s="56">
        <v>7788232.0000000019</v>
      </c>
      <c r="P196" s="56">
        <v>7877422.0000000009</v>
      </c>
      <c r="Q196" s="56">
        <v>7929870</v>
      </c>
      <c r="R196" s="56">
        <v>7934429</v>
      </c>
      <c r="S196" s="56">
        <v>7811331.9999999991</v>
      </c>
      <c r="T196" s="56">
        <v>7639730</v>
      </c>
      <c r="U196" s="56">
        <v>7455829.0000000019</v>
      </c>
      <c r="V196" s="56">
        <v>7301532.0000000009</v>
      </c>
      <c r="W196" s="56">
        <v>7203774.9999999981</v>
      </c>
      <c r="X196" s="56">
        <v>7337480.9999999991</v>
      </c>
      <c r="Y196" s="56">
        <v>7525936.0000000019</v>
      </c>
      <c r="Z196" s="56">
        <v>7750745</v>
      </c>
      <c r="AA196" s="56">
        <v>7984088.0000000028</v>
      </c>
      <c r="AB196" s="56">
        <v>8201196</v>
      </c>
      <c r="AC196" s="56">
        <v>8351019.0000000019</v>
      </c>
      <c r="AD196" s="56">
        <v>8487818.0000000019</v>
      </c>
      <c r="AE196" s="56">
        <v>8606720.0000000037</v>
      </c>
      <c r="AF196" s="56">
        <v>8702671.9999999981</v>
      </c>
      <c r="AG196" s="56">
        <v>8775344</v>
      </c>
    </row>
    <row r="197" spans="1:33" x14ac:dyDescent="0.3">
      <c r="A197" s="369" t="s">
        <v>92</v>
      </c>
      <c r="B197" s="370" t="s">
        <v>92</v>
      </c>
      <c r="C197" s="56">
        <v>21689632.999999993</v>
      </c>
      <c r="D197" s="56">
        <v>22227416.000000007</v>
      </c>
      <c r="E197" s="56">
        <v>22677157</v>
      </c>
      <c r="F197" s="56">
        <v>23068343.999999996</v>
      </c>
      <c r="G197" s="56">
        <v>23445882.000000004</v>
      </c>
      <c r="H197" s="56">
        <v>23827148.999999996</v>
      </c>
      <c r="I197" s="56">
        <v>24147487.000000004</v>
      </c>
      <c r="J197" s="56">
        <v>24478211.000000007</v>
      </c>
      <c r="K197" s="56">
        <v>24794798.000000011</v>
      </c>
      <c r="L197" s="56">
        <v>25056877</v>
      </c>
      <c r="M197" s="56">
        <v>25245645.000000004</v>
      </c>
      <c r="N197" s="56">
        <v>25392632</v>
      </c>
      <c r="O197" s="56">
        <v>25487573.999999993</v>
      </c>
      <c r="P197" s="56">
        <v>25535116</v>
      </c>
      <c r="Q197" s="56">
        <v>25553154.000000004</v>
      </c>
      <c r="R197" s="56">
        <v>25554254</v>
      </c>
      <c r="S197" s="56">
        <v>25564178.999999996</v>
      </c>
      <c r="T197" s="56">
        <v>25552196.999999993</v>
      </c>
      <c r="U197" s="56">
        <v>25524946.999999996</v>
      </c>
      <c r="V197" s="56">
        <v>25489272.000000004</v>
      </c>
      <c r="W197" s="56">
        <v>25448658.000000004</v>
      </c>
      <c r="X197" s="56">
        <v>25407518.000000004</v>
      </c>
      <c r="Y197" s="56">
        <v>25371336.000000004</v>
      </c>
      <c r="Z197" s="56">
        <v>25336670.000000004</v>
      </c>
      <c r="AA197" s="56">
        <v>25295963.999999996</v>
      </c>
      <c r="AB197" s="56">
        <v>25245922.999999996</v>
      </c>
      <c r="AC197" s="56">
        <v>25226849.000000004</v>
      </c>
      <c r="AD197" s="56">
        <v>25190902</v>
      </c>
      <c r="AE197" s="56">
        <v>25143578.999999993</v>
      </c>
      <c r="AF197" s="56">
        <v>25092362.999999996</v>
      </c>
      <c r="AG197" s="56">
        <v>25038107</v>
      </c>
    </row>
    <row r="198" spans="1:33" x14ac:dyDescent="0.3">
      <c r="A198" s="369" t="s">
        <v>93</v>
      </c>
      <c r="B198" s="370" t="s">
        <v>93</v>
      </c>
      <c r="C198" s="56">
        <v>83061.999999999971</v>
      </c>
      <c r="D198" s="56">
        <v>90160.000000000044</v>
      </c>
      <c r="E198" s="56">
        <v>98296</v>
      </c>
      <c r="F198" s="56">
        <v>106776.99999999999</v>
      </c>
      <c r="G198" s="56">
        <v>114699</v>
      </c>
      <c r="H198" s="56">
        <v>121453.99999999999</v>
      </c>
      <c r="I198" s="56">
        <v>125682</v>
      </c>
      <c r="J198" s="56">
        <v>128625</v>
      </c>
      <c r="K198" s="56">
        <v>130692.99999999996</v>
      </c>
      <c r="L198" s="56">
        <v>132481.00000000003</v>
      </c>
      <c r="M198" s="56">
        <v>134397.99999999994</v>
      </c>
      <c r="N198" s="56">
        <v>136434.00000000003</v>
      </c>
      <c r="O198" s="56">
        <v>138441.99999999994</v>
      </c>
      <c r="P198" s="56">
        <v>140539</v>
      </c>
      <c r="Q198" s="56">
        <v>142861</v>
      </c>
      <c r="R198" s="56">
        <v>145518</v>
      </c>
      <c r="S198" s="56">
        <v>148685.00000000003</v>
      </c>
      <c r="T198" s="56">
        <v>152400.99999999997</v>
      </c>
      <c r="U198" s="56">
        <v>156399.00000000003</v>
      </c>
      <c r="V198" s="56">
        <v>160321</v>
      </c>
      <c r="W198" s="56">
        <v>163953</v>
      </c>
      <c r="X198" s="56">
        <v>167591.99999999994</v>
      </c>
      <c r="Y198" s="56">
        <v>170888.00000000003</v>
      </c>
      <c r="Z198" s="56">
        <v>173962.99999999997</v>
      </c>
      <c r="AA198" s="56">
        <v>177034.99999999997</v>
      </c>
      <c r="AB198" s="56">
        <v>180224.00000000003</v>
      </c>
      <c r="AC198" s="56">
        <v>183416.99999999997</v>
      </c>
      <c r="AD198" s="56">
        <v>186732.99999999997</v>
      </c>
      <c r="AE198" s="56">
        <v>190078.99999999997</v>
      </c>
      <c r="AF198" s="56">
        <v>193322.00000000003</v>
      </c>
      <c r="AG198" s="56">
        <v>196393</v>
      </c>
    </row>
    <row r="199" spans="1:33" x14ac:dyDescent="0.3">
      <c r="A199" s="369" t="s">
        <v>94</v>
      </c>
      <c r="B199" s="370" t="s">
        <v>94</v>
      </c>
      <c r="C199" s="56">
        <v>3668972.0000000009</v>
      </c>
      <c r="D199" s="56">
        <v>3828998</v>
      </c>
      <c r="E199" s="56">
        <v>3991183.9999999995</v>
      </c>
      <c r="F199" s="56">
        <v>4159143</v>
      </c>
      <c r="G199" s="56">
        <v>4338263.9999999991</v>
      </c>
      <c r="H199" s="56">
        <v>4530263</v>
      </c>
      <c r="I199" s="56">
        <v>4723560.9999999991</v>
      </c>
      <c r="J199" s="56">
        <v>4931307.9999999981</v>
      </c>
      <c r="K199" s="56">
        <v>5147939</v>
      </c>
      <c r="L199" s="56">
        <v>5364311.9999999991</v>
      </c>
      <c r="M199" s="56">
        <v>5575277.9999999991</v>
      </c>
      <c r="N199" s="56">
        <v>5780450.0000000009</v>
      </c>
      <c r="O199" s="56">
        <v>5980713.9999999991</v>
      </c>
      <c r="P199" s="56">
        <v>6177832.9999999991</v>
      </c>
      <c r="Q199" s="56">
        <v>6376674</v>
      </c>
      <c r="R199" s="56">
        <v>6580106.0000000019</v>
      </c>
      <c r="S199" s="56">
        <v>6780901.9999999991</v>
      </c>
      <c r="T199" s="56">
        <v>6986669</v>
      </c>
      <c r="U199" s="56">
        <v>7196460.0000000019</v>
      </c>
      <c r="V199" s="56">
        <v>7408593.0000000009</v>
      </c>
      <c r="W199" s="56">
        <v>7622513.0000000019</v>
      </c>
      <c r="X199" s="56">
        <v>7843306</v>
      </c>
      <c r="Y199" s="56">
        <v>8064254</v>
      </c>
      <c r="Z199" s="56">
        <v>8286127</v>
      </c>
      <c r="AA199" s="56">
        <v>8510204.0000000019</v>
      </c>
      <c r="AB199" s="56">
        <v>8736513</v>
      </c>
      <c r="AC199" s="56">
        <v>8962606.9999999981</v>
      </c>
      <c r="AD199" s="56">
        <v>9190335.0000000019</v>
      </c>
      <c r="AE199" s="56">
        <v>9417509.9999999981</v>
      </c>
      <c r="AF199" s="56">
        <v>9640571</v>
      </c>
      <c r="AG199" s="56">
        <v>9857172</v>
      </c>
    </row>
    <row r="200" spans="1:33" x14ac:dyDescent="0.3">
      <c r="A200" s="369" t="s">
        <v>48</v>
      </c>
      <c r="B200" s="370" t="s">
        <v>48</v>
      </c>
      <c r="C200" s="56">
        <v>2401672</v>
      </c>
      <c r="D200" s="56">
        <v>2463002.0000000005</v>
      </c>
      <c r="E200" s="56">
        <v>2526422.9999999991</v>
      </c>
      <c r="F200" s="56">
        <v>2592338.0000000005</v>
      </c>
      <c r="G200" s="56">
        <v>2661487</v>
      </c>
      <c r="H200" s="56">
        <v>2734663</v>
      </c>
      <c r="I200" s="56">
        <v>2806247.0000000005</v>
      </c>
      <c r="J200" s="56">
        <v>2883591.9999999991</v>
      </c>
      <c r="K200" s="56">
        <v>2966771.9999999995</v>
      </c>
      <c r="L200" s="56">
        <v>3055868</v>
      </c>
      <c r="M200" s="56">
        <v>3151330</v>
      </c>
      <c r="N200" s="56">
        <v>3259013.0000000005</v>
      </c>
      <c r="O200" s="56">
        <v>3372406.9999999986</v>
      </c>
      <c r="P200" s="56">
        <v>3492046.0000000005</v>
      </c>
      <c r="Q200" s="56">
        <v>3619129.9999999995</v>
      </c>
      <c r="R200" s="56">
        <v>3754047</v>
      </c>
      <c r="S200" s="56">
        <v>3892048</v>
      </c>
      <c r="T200" s="56">
        <v>4038888.0000000005</v>
      </c>
      <c r="U200" s="56">
        <v>4192480.9999999991</v>
      </c>
      <c r="V200" s="56">
        <v>4349193</v>
      </c>
      <c r="W200" s="56">
        <v>4506891.9999999981</v>
      </c>
      <c r="X200" s="56">
        <v>4668781.0000000019</v>
      </c>
      <c r="Y200" s="56">
        <v>4828956.0000000009</v>
      </c>
      <c r="Z200" s="56">
        <v>4989379</v>
      </c>
      <c r="AA200" s="56">
        <v>5153343</v>
      </c>
      <c r="AB200" s="56">
        <v>5322188.9999999991</v>
      </c>
      <c r="AC200" s="56">
        <v>5487636.9999999991</v>
      </c>
      <c r="AD200" s="56">
        <v>5659685.0000000019</v>
      </c>
      <c r="AE200" s="56">
        <v>5835728.9999999991</v>
      </c>
      <c r="AF200" s="56">
        <v>6011854.9999999991</v>
      </c>
      <c r="AG200" s="56">
        <v>6186295</v>
      </c>
    </row>
    <row r="201" spans="1:33" x14ac:dyDescent="0.3">
      <c r="A201" s="369" t="s">
        <v>49</v>
      </c>
      <c r="B201" s="370" t="s">
        <v>49</v>
      </c>
      <c r="C201" s="56">
        <v>3006816.0000000005</v>
      </c>
      <c r="D201" s="56">
        <v>3039761.0000000009</v>
      </c>
      <c r="E201" s="56">
        <v>3072767.0000000005</v>
      </c>
      <c r="F201" s="56">
        <v>3106275.0000000014</v>
      </c>
      <c r="G201" s="56">
        <v>3139529.0000000014</v>
      </c>
      <c r="H201" s="56">
        <v>3172382</v>
      </c>
      <c r="I201" s="56">
        <v>3206387.9999999986</v>
      </c>
      <c r="J201" s="56">
        <v>3238725.9999999991</v>
      </c>
      <c r="K201" s="56">
        <v>3271210</v>
      </c>
      <c r="L201" s="56">
        <v>3306089.9999999995</v>
      </c>
      <c r="M201" s="56">
        <v>3344765</v>
      </c>
      <c r="N201" s="56">
        <v>3390634.0000000005</v>
      </c>
      <c r="O201" s="56">
        <v>3439149</v>
      </c>
      <c r="P201" s="56">
        <v>3489355.9999999995</v>
      </c>
      <c r="Q201" s="56">
        <v>3540701</v>
      </c>
      <c r="R201" s="56">
        <v>3593165.9999999991</v>
      </c>
      <c r="S201" s="56">
        <v>3634461.0000000005</v>
      </c>
      <c r="T201" s="56">
        <v>3682787.9999999995</v>
      </c>
      <c r="U201" s="56">
        <v>3737190.9999999991</v>
      </c>
      <c r="V201" s="56">
        <v>3795302</v>
      </c>
      <c r="W201" s="56">
        <v>3856521.9999999995</v>
      </c>
      <c r="X201" s="56">
        <v>3946997.0000000009</v>
      </c>
      <c r="Y201" s="56">
        <v>4033454.9999999995</v>
      </c>
      <c r="Z201" s="56">
        <v>4120772</v>
      </c>
      <c r="AA201" s="56">
        <v>4215592.0000000009</v>
      </c>
      <c r="AB201" s="56">
        <v>4320022.0000000009</v>
      </c>
      <c r="AC201" s="56">
        <v>4427958.0000000009</v>
      </c>
      <c r="AD201" s="56">
        <v>4545689.0000000009</v>
      </c>
      <c r="AE201" s="56">
        <v>4668557.0000000019</v>
      </c>
      <c r="AF201" s="56">
        <v>4788474</v>
      </c>
      <c r="AG201" s="56">
        <v>4900832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00000"/>
  </sheetPr>
  <dimension ref="A1:U242"/>
  <sheetViews>
    <sheetView workbookViewId="0">
      <selection activeCell="D6" sqref="D6"/>
    </sheetView>
  </sheetViews>
  <sheetFormatPr defaultColWidth="9.109375" defaultRowHeight="14.4" x14ac:dyDescent="0.3"/>
  <cols>
    <col min="1" max="2" width="9.109375" style="9"/>
    <col min="3" max="3" width="11.109375" style="9" customWidth="1"/>
    <col min="4" max="4" width="12" style="9" customWidth="1"/>
    <col min="5" max="8" width="13" style="9" customWidth="1"/>
    <col min="9" max="9" width="11.109375" style="9" customWidth="1"/>
    <col min="10" max="11" width="11.33203125" style="9" customWidth="1"/>
    <col min="12" max="21" width="12.33203125" style="9" customWidth="1"/>
    <col min="22" max="16384" width="9.109375" style="9"/>
  </cols>
  <sheetData>
    <row r="1" spans="1:21" x14ac:dyDescent="0.3">
      <c r="A1" s="9" t="s">
        <v>874</v>
      </c>
    </row>
    <row r="3" spans="1:21" x14ac:dyDescent="0.3">
      <c r="A3" s="397"/>
      <c r="B3" s="397"/>
      <c r="C3" s="398">
        <v>2012</v>
      </c>
      <c r="D3" s="398">
        <v>2013</v>
      </c>
      <c r="E3" s="398">
        <v>2014</v>
      </c>
      <c r="F3" s="398">
        <v>2015</v>
      </c>
      <c r="G3" s="398">
        <v>2016</v>
      </c>
      <c r="H3" s="398">
        <v>2017</v>
      </c>
      <c r="I3" s="398">
        <v>2018</v>
      </c>
      <c r="J3" s="398">
        <v>2019</v>
      </c>
      <c r="K3" s="398">
        <v>2020</v>
      </c>
      <c r="L3" s="398">
        <v>2021</v>
      </c>
      <c r="M3" s="398">
        <v>2022</v>
      </c>
      <c r="N3" s="398">
        <v>2023</v>
      </c>
      <c r="O3" s="398">
        <v>2024</v>
      </c>
      <c r="P3" s="398">
        <v>2025</v>
      </c>
      <c r="Q3" s="398">
        <v>2026</v>
      </c>
      <c r="R3" s="398">
        <v>2027</v>
      </c>
      <c r="S3" s="398">
        <v>2028</v>
      </c>
      <c r="T3" s="398">
        <v>2029</v>
      </c>
      <c r="U3" s="398">
        <v>2030</v>
      </c>
    </row>
    <row r="4" spans="1:21" x14ac:dyDescent="0.3">
      <c r="A4" s="393" t="s">
        <v>280</v>
      </c>
      <c r="B4" s="392"/>
      <c r="C4" s="55">
        <v>139454437</v>
      </c>
      <c r="D4" s="55">
        <v>139746195</v>
      </c>
      <c r="E4" s="55">
        <v>139975840</v>
      </c>
      <c r="F4" s="55">
        <v>140139133</v>
      </c>
      <c r="G4" s="55">
        <v>140229681</v>
      </c>
      <c r="H4" s="55">
        <v>140248778</v>
      </c>
      <c r="I4" s="55">
        <v>140204090</v>
      </c>
      <c r="J4" s="55">
        <v>140108052</v>
      </c>
      <c r="K4" s="55">
        <v>139975303</v>
      </c>
      <c r="L4" s="55">
        <v>139821086</v>
      </c>
      <c r="M4" s="55">
        <v>139661301</v>
      </c>
      <c r="N4" s="55">
        <v>139511732</v>
      </c>
      <c r="O4" s="55">
        <v>139385724</v>
      </c>
      <c r="P4" s="55">
        <v>139294399</v>
      </c>
      <c r="Q4" s="55">
        <v>139243217</v>
      </c>
      <c r="R4" s="55">
        <v>139227034</v>
      </c>
      <c r="S4" s="55">
        <v>139240419</v>
      </c>
      <c r="T4" s="55">
        <v>139281991</v>
      </c>
      <c r="U4" s="55">
        <v>139349349</v>
      </c>
    </row>
    <row r="5" spans="1:21" x14ac:dyDescent="0.3">
      <c r="A5" s="394" t="s">
        <v>281</v>
      </c>
      <c r="B5" s="392"/>
      <c r="C5" s="55">
        <v>13889182</v>
      </c>
      <c r="D5" s="55">
        <v>13808425</v>
      </c>
      <c r="E5" s="55">
        <v>13719629</v>
      </c>
      <c r="F5" s="55">
        <v>13628015</v>
      </c>
      <c r="G5" s="55">
        <v>13536756</v>
      </c>
      <c r="H5" s="55">
        <v>13446056</v>
      </c>
      <c r="I5" s="55">
        <v>13356501</v>
      </c>
      <c r="J5" s="55">
        <v>13270144</v>
      </c>
      <c r="K5" s="55">
        <v>13187769</v>
      </c>
      <c r="L5" s="55">
        <v>13108854</v>
      </c>
      <c r="M5" s="55">
        <v>13031983</v>
      </c>
      <c r="N5" s="55">
        <v>12956526</v>
      </c>
      <c r="O5" s="55">
        <v>12883289</v>
      </c>
      <c r="P5" s="55">
        <v>12813221</v>
      </c>
      <c r="Q5" s="55">
        <v>12747350</v>
      </c>
      <c r="R5" s="55">
        <v>12686895</v>
      </c>
      <c r="S5" s="55">
        <v>12633107</v>
      </c>
      <c r="T5" s="55">
        <v>12587041</v>
      </c>
      <c r="U5" s="55">
        <v>12550086</v>
      </c>
    </row>
    <row r="6" spans="1:21" x14ac:dyDescent="0.3">
      <c r="A6" s="394" t="s">
        <v>282</v>
      </c>
      <c r="B6" s="392"/>
      <c r="C6" s="55">
        <v>125565255</v>
      </c>
      <c r="D6" s="55">
        <v>125937770</v>
      </c>
      <c r="E6" s="55">
        <v>126256211</v>
      </c>
      <c r="F6" s="55">
        <v>126511118</v>
      </c>
      <c r="G6" s="55">
        <v>126692925</v>
      </c>
      <c r="H6" s="55">
        <v>126802722</v>
      </c>
      <c r="I6" s="55">
        <v>126847589</v>
      </c>
      <c r="J6" s="55">
        <v>126837908</v>
      </c>
      <c r="K6" s="55">
        <v>126787534</v>
      </c>
      <c r="L6" s="55">
        <v>126712232</v>
      </c>
      <c r="M6" s="55">
        <v>126629318</v>
      </c>
      <c r="N6" s="55">
        <v>126555206</v>
      </c>
      <c r="O6" s="55">
        <v>126502435</v>
      </c>
      <c r="P6" s="55">
        <v>126481178</v>
      </c>
      <c r="Q6" s="55">
        <v>126495867</v>
      </c>
      <c r="R6" s="55">
        <v>126540139</v>
      </c>
      <c r="S6" s="55">
        <v>126607312</v>
      </c>
      <c r="T6" s="55">
        <v>126694950</v>
      </c>
      <c r="U6" s="55">
        <v>126799263</v>
      </c>
    </row>
    <row r="7" spans="1:21" x14ac:dyDescent="0.3">
      <c r="A7" s="395" t="s">
        <v>283</v>
      </c>
      <c r="B7" s="392"/>
      <c r="C7" s="55">
        <v>29623862</v>
      </c>
      <c r="D7" s="55">
        <v>29968263</v>
      </c>
      <c r="E7" s="55">
        <v>30317994</v>
      </c>
      <c r="F7" s="55">
        <v>30674513</v>
      </c>
      <c r="G7" s="55">
        <v>31038790</v>
      </c>
      <c r="H7" s="55">
        <v>31409828</v>
      </c>
      <c r="I7" s="55">
        <v>31785947</v>
      </c>
      <c r="J7" s="55">
        <v>32165575</v>
      </c>
      <c r="K7" s="55">
        <v>32546667</v>
      </c>
      <c r="L7" s="55">
        <v>32927065.000000004</v>
      </c>
      <c r="M7" s="55">
        <v>33304620.000000004</v>
      </c>
      <c r="N7" s="55">
        <v>33677348</v>
      </c>
      <c r="O7" s="55">
        <v>34043681</v>
      </c>
      <c r="P7" s="55">
        <v>34402814</v>
      </c>
      <c r="Q7" s="55">
        <v>34754824</v>
      </c>
      <c r="R7" s="55">
        <v>35100687</v>
      </c>
      <c r="S7" s="55">
        <v>35440956</v>
      </c>
      <c r="T7" s="55">
        <v>35775304</v>
      </c>
      <c r="U7" s="55">
        <v>36103086</v>
      </c>
    </row>
    <row r="8" spans="1:21" x14ac:dyDescent="0.3">
      <c r="A8" s="395" t="s">
        <v>284</v>
      </c>
      <c r="B8" s="392"/>
      <c r="C8" s="55">
        <v>95941393</v>
      </c>
      <c r="D8" s="55">
        <v>95969507</v>
      </c>
      <c r="E8" s="55">
        <v>95938217</v>
      </c>
      <c r="F8" s="55">
        <v>95836605</v>
      </c>
      <c r="G8" s="55">
        <v>95654135</v>
      </c>
      <c r="H8" s="55">
        <v>95392894</v>
      </c>
      <c r="I8" s="55">
        <v>95061642</v>
      </c>
      <c r="J8" s="55">
        <v>94672333</v>
      </c>
      <c r="K8" s="55">
        <v>94240867</v>
      </c>
      <c r="L8" s="55">
        <v>93785167</v>
      </c>
      <c r="M8" s="55">
        <v>93324698</v>
      </c>
      <c r="N8" s="55">
        <v>92877858</v>
      </c>
      <c r="O8" s="55">
        <v>92458754</v>
      </c>
      <c r="P8" s="55">
        <v>92078364</v>
      </c>
      <c r="Q8" s="55">
        <v>91741043</v>
      </c>
      <c r="R8" s="55">
        <v>91439452</v>
      </c>
      <c r="S8" s="55">
        <v>91166356</v>
      </c>
      <c r="T8" s="55">
        <v>90919646</v>
      </c>
      <c r="U8" s="55">
        <v>90696177</v>
      </c>
    </row>
    <row r="9" spans="1:21" x14ac:dyDescent="0.3">
      <c r="A9" s="394" t="s">
        <v>285</v>
      </c>
      <c r="B9" s="392"/>
      <c r="C9" s="55">
        <v>107674952</v>
      </c>
      <c r="D9" s="55">
        <v>108050238</v>
      </c>
      <c r="E9" s="55">
        <v>108416676</v>
      </c>
      <c r="F9" s="55">
        <v>108773098</v>
      </c>
      <c r="G9" s="55">
        <v>109114950</v>
      </c>
      <c r="H9" s="55">
        <v>109436358</v>
      </c>
      <c r="I9" s="55">
        <v>109734066</v>
      </c>
      <c r="J9" s="55">
        <v>110009179</v>
      </c>
      <c r="K9" s="55">
        <v>110264283</v>
      </c>
      <c r="L9" s="55">
        <v>110503401</v>
      </c>
      <c r="M9" s="55">
        <v>110732084</v>
      </c>
      <c r="N9" s="55">
        <v>110955430</v>
      </c>
      <c r="O9" s="55">
        <v>111176664</v>
      </c>
      <c r="P9" s="55">
        <v>111398661</v>
      </c>
      <c r="Q9" s="55">
        <v>111622873</v>
      </c>
      <c r="R9" s="55">
        <v>111847654</v>
      </c>
      <c r="S9" s="55">
        <v>112070997</v>
      </c>
      <c r="T9" s="55">
        <v>112291845</v>
      </c>
      <c r="U9" s="55">
        <v>112508259</v>
      </c>
    </row>
    <row r="10" spans="1:21" x14ac:dyDescent="0.3">
      <c r="A10" s="393" t="s">
        <v>239</v>
      </c>
      <c r="B10" s="392"/>
      <c r="C10" s="55">
        <v>33742323</v>
      </c>
      <c r="D10" s="55">
        <v>34255768</v>
      </c>
      <c r="E10" s="55">
        <v>34754225</v>
      </c>
      <c r="F10" s="55">
        <v>35243539</v>
      </c>
      <c r="G10" s="55">
        <v>35730923</v>
      </c>
      <c r="H10" s="55">
        <v>36223400</v>
      </c>
      <c r="I10" s="55">
        <v>36726459</v>
      </c>
      <c r="J10" s="55">
        <v>37243079</v>
      </c>
      <c r="K10" s="55">
        <v>37774541</v>
      </c>
      <c r="L10" s="55">
        <v>38319711</v>
      </c>
      <c r="M10" s="55">
        <v>38873519</v>
      </c>
      <c r="N10" s="55">
        <v>39431201</v>
      </c>
      <c r="O10" s="55">
        <v>39990298</v>
      </c>
      <c r="P10" s="55">
        <v>40549098</v>
      </c>
      <c r="Q10" s="55">
        <v>41106717</v>
      </c>
      <c r="R10" s="55">
        <v>41662581</v>
      </c>
      <c r="S10" s="55">
        <v>42215442</v>
      </c>
      <c r="T10" s="55">
        <v>42763269</v>
      </c>
      <c r="U10" s="55">
        <v>43304124</v>
      </c>
    </row>
    <row r="11" spans="1:21" x14ac:dyDescent="0.3">
      <c r="A11" s="393" t="s">
        <v>286</v>
      </c>
      <c r="B11" s="392"/>
      <c r="C11" s="55">
        <v>39458333</v>
      </c>
      <c r="D11" s="55">
        <v>40086101</v>
      </c>
      <c r="E11" s="55">
        <v>40669252</v>
      </c>
      <c r="F11" s="55">
        <v>41211869</v>
      </c>
      <c r="G11" s="55">
        <v>41723004</v>
      </c>
      <c r="H11" s="55">
        <v>42217795</v>
      </c>
      <c r="I11" s="55">
        <v>42709735</v>
      </c>
      <c r="J11" s="55">
        <v>43206498</v>
      </c>
      <c r="K11" s="55">
        <v>43713339</v>
      </c>
      <c r="L11" s="55">
        <v>44231827</v>
      </c>
      <c r="M11" s="55">
        <v>44758399</v>
      </c>
      <c r="N11" s="55">
        <v>45290389</v>
      </c>
      <c r="O11" s="55">
        <v>45828352</v>
      </c>
      <c r="P11" s="55">
        <v>46373299</v>
      </c>
      <c r="Q11" s="55">
        <v>46926022</v>
      </c>
      <c r="R11" s="55">
        <v>47485613</v>
      </c>
      <c r="S11" s="55">
        <v>48050404</v>
      </c>
      <c r="T11" s="55">
        <v>48618586</v>
      </c>
      <c r="U11" s="55">
        <v>49188545</v>
      </c>
    </row>
    <row r="12" spans="1:21" x14ac:dyDescent="0.3">
      <c r="A12" s="396" t="s">
        <v>240</v>
      </c>
      <c r="B12" s="392"/>
      <c r="C12" s="55">
        <v>13357455</v>
      </c>
      <c r="D12" s="55">
        <v>13526189</v>
      </c>
      <c r="E12" s="55">
        <v>13693617</v>
      </c>
      <c r="F12" s="55">
        <v>13862805</v>
      </c>
      <c r="G12" s="55">
        <v>14036924</v>
      </c>
      <c r="H12" s="55">
        <v>14217614</v>
      </c>
      <c r="I12" s="55">
        <v>14405550</v>
      </c>
      <c r="J12" s="55">
        <v>14600622</v>
      </c>
      <c r="K12" s="55">
        <v>14801746</v>
      </c>
      <c r="L12" s="55">
        <v>15006900</v>
      </c>
      <c r="M12" s="55">
        <v>15212825</v>
      </c>
      <c r="N12" s="55">
        <v>15416574</v>
      </c>
      <c r="O12" s="55">
        <v>15616344</v>
      </c>
      <c r="P12" s="55">
        <v>15810929</v>
      </c>
      <c r="Q12" s="55">
        <v>15999987</v>
      </c>
      <c r="R12" s="55">
        <v>16184238</v>
      </c>
      <c r="S12" s="55">
        <v>16364142</v>
      </c>
      <c r="T12" s="55">
        <v>16539397</v>
      </c>
      <c r="U12" s="55">
        <v>16709514</v>
      </c>
    </row>
    <row r="13" spans="1:21" x14ac:dyDescent="0.3">
      <c r="A13" s="395" t="s">
        <v>57</v>
      </c>
      <c r="B13" s="392"/>
      <c r="C13" s="55">
        <v>392283</v>
      </c>
      <c r="D13" s="55">
        <v>401002</v>
      </c>
      <c r="E13" s="55">
        <v>409067</v>
      </c>
      <c r="F13" s="55">
        <v>416524</v>
      </c>
      <c r="G13" s="55">
        <v>423486</v>
      </c>
      <c r="H13" s="55">
        <v>430141</v>
      </c>
      <c r="I13" s="55">
        <v>436658</v>
      </c>
      <c r="J13" s="55">
        <v>443133</v>
      </c>
      <c r="K13" s="55">
        <v>449616</v>
      </c>
      <c r="L13" s="55">
        <v>456106</v>
      </c>
      <c r="M13" s="55">
        <v>462563</v>
      </c>
      <c r="N13" s="55">
        <v>468972</v>
      </c>
      <c r="O13" s="55">
        <v>475376</v>
      </c>
      <c r="P13" s="55">
        <v>481820</v>
      </c>
      <c r="Q13" s="55">
        <v>488351</v>
      </c>
      <c r="R13" s="55">
        <v>495002</v>
      </c>
      <c r="S13" s="55">
        <v>501805</v>
      </c>
      <c r="T13" s="55">
        <v>508787</v>
      </c>
      <c r="U13" s="55">
        <v>515972</v>
      </c>
    </row>
    <row r="14" spans="1:21" x14ac:dyDescent="0.3">
      <c r="A14" s="395" t="s">
        <v>61</v>
      </c>
      <c r="B14" s="392"/>
      <c r="C14" s="55">
        <v>25069</v>
      </c>
      <c r="D14" s="55">
        <v>25386</v>
      </c>
      <c r="E14" s="55">
        <v>25669</v>
      </c>
      <c r="F14" s="55">
        <v>25920</v>
      </c>
      <c r="G14" s="55">
        <v>26143</v>
      </c>
      <c r="H14" s="55">
        <v>26350</v>
      </c>
      <c r="I14" s="55">
        <v>26546</v>
      </c>
      <c r="J14" s="55">
        <v>26739</v>
      </c>
      <c r="K14" s="55">
        <v>26932</v>
      </c>
      <c r="L14" s="55">
        <v>27125</v>
      </c>
      <c r="M14" s="55">
        <v>27319</v>
      </c>
      <c r="N14" s="55">
        <v>27512</v>
      </c>
      <c r="O14" s="55">
        <v>27707</v>
      </c>
      <c r="P14" s="55">
        <v>27906</v>
      </c>
      <c r="Q14" s="55">
        <v>28109</v>
      </c>
      <c r="R14" s="55">
        <v>28318</v>
      </c>
      <c r="S14" s="55">
        <v>28531</v>
      </c>
      <c r="T14" s="55">
        <v>28749</v>
      </c>
      <c r="U14" s="55">
        <v>28971</v>
      </c>
    </row>
    <row r="15" spans="1:21" x14ac:dyDescent="0.3">
      <c r="A15" s="395" t="s">
        <v>64</v>
      </c>
      <c r="B15" s="392"/>
      <c r="C15" s="55">
        <v>21197</v>
      </c>
      <c r="D15" s="55">
        <v>21129</v>
      </c>
      <c r="E15" s="55">
        <v>21046</v>
      </c>
      <c r="F15" s="55">
        <v>20948</v>
      </c>
      <c r="G15" s="55">
        <v>20833</v>
      </c>
      <c r="H15" s="55">
        <v>20707</v>
      </c>
      <c r="I15" s="55">
        <v>20575</v>
      </c>
      <c r="J15" s="55">
        <v>20436</v>
      </c>
      <c r="K15" s="55">
        <v>20290</v>
      </c>
      <c r="L15" s="55">
        <v>20135</v>
      </c>
      <c r="M15" s="55">
        <v>19971</v>
      </c>
      <c r="N15" s="55">
        <v>19799</v>
      </c>
      <c r="O15" s="55">
        <v>19621</v>
      </c>
      <c r="P15" s="55">
        <v>19438</v>
      </c>
      <c r="Q15" s="55">
        <v>19252</v>
      </c>
      <c r="R15" s="55">
        <v>19067</v>
      </c>
      <c r="S15" s="55">
        <v>18885</v>
      </c>
      <c r="T15" s="55">
        <v>18711</v>
      </c>
      <c r="U15" s="55">
        <v>18547</v>
      </c>
    </row>
    <row r="16" spans="1:21" x14ac:dyDescent="0.3">
      <c r="A16" s="395" t="s">
        <v>66</v>
      </c>
      <c r="B16" s="392"/>
      <c r="C16" s="55">
        <v>111950</v>
      </c>
      <c r="D16" s="55">
        <v>110564</v>
      </c>
      <c r="E16" s="55">
        <v>109184</v>
      </c>
      <c r="F16" s="55">
        <v>107941</v>
      </c>
      <c r="G16" s="55">
        <v>106884</v>
      </c>
      <c r="H16" s="55">
        <v>105963</v>
      </c>
      <c r="I16" s="55">
        <v>105159</v>
      </c>
      <c r="J16" s="55">
        <v>104526</v>
      </c>
      <c r="K16" s="55">
        <v>104122</v>
      </c>
      <c r="L16" s="55">
        <v>103991</v>
      </c>
      <c r="M16" s="55">
        <v>104129</v>
      </c>
      <c r="N16" s="55">
        <v>104528</v>
      </c>
      <c r="O16" s="55">
        <v>105180</v>
      </c>
      <c r="P16" s="55">
        <v>106077</v>
      </c>
      <c r="Q16" s="55">
        <v>107203</v>
      </c>
      <c r="R16" s="55">
        <v>108510</v>
      </c>
      <c r="S16" s="55">
        <v>109943</v>
      </c>
      <c r="T16" s="55">
        <v>111454</v>
      </c>
      <c r="U16" s="55">
        <v>113003</v>
      </c>
    </row>
    <row r="17" spans="1:21" x14ac:dyDescent="0.3">
      <c r="A17" s="395" t="s">
        <v>32</v>
      </c>
      <c r="B17" s="392"/>
      <c r="C17" s="55">
        <v>3248040</v>
      </c>
      <c r="D17" s="55">
        <v>3297403</v>
      </c>
      <c r="E17" s="55">
        <v>3347161</v>
      </c>
      <c r="F17" s="55">
        <v>3396430</v>
      </c>
      <c r="G17" s="55">
        <v>3444630</v>
      </c>
      <c r="H17" s="55">
        <v>3491483</v>
      </c>
      <c r="I17" s="55">
        <v>3536568</v>
      </c>
      <c r="J17" s="55">
        <v>3579233</v>
      </c>
      <c r="K17" s="55">
        <v>3618849</v>
      </c>
      <c r="L17" s="55">
        <v>3654995</v>
      </c>
      <c r="M17" s="55">
        <v>3687737</v>
      </c>
      <c r="N17" s="55">
        <v>3717205</v>
      </c>
      <c r="O17" s="55">
        <v>3743422</v>
      </c>
      <c r="P17" s="55">
        <v>3766430</v>
      </c>
      <c r="Q17" s="55">
        <v>3786363</v>
      </c>
      <c r="R17" s="55">
        <v>3803649</v>
      </c>
      <c r="S17" s="55">
        <v>3818793</v>
      </c>
      <c r="T17" s="55">
        <v>3832230</v>
      </c>
      <c r="U17" s="55">
        <v>3844312</v>
      </c>
    </row>
    <row r="18" spans="1:21" x14ac:dyDescent="0.3">
      <c r="A18" s="395" t="s">
        <v>36</v>
      </c>
      <c r="B18" s="392"/>
      <c r="C18" s="55">
        <v>1477823</v>
      </c>
      <c r="D18" s="55">
        <v>1474654</v>
      </c>
      <c r="E18" s="55">
        <v>1470991</v>
      </c>
      <c r="F18" s="55">
        <v>1468429</v>
      </c>
      <c r="G18" s="55">
        <v>1468510</v>
      </c>
      <c r="H18" s="55">
        <v>1472012</v>
      </c>
      <c r="I18" s="55">
        <v>1479343</v>
      </c>
      <c r="J18" s="55">
        <v>1490648</v>
      </c>
      <c r="K18" s="55">
        <v>1505629</v>
      </c>
      <c r="L18" s="55">
        <v>1523501</v>
      </c>
      <c r="M18" s="55">
        <v>1542846</v>
      </c>
      <c r="N18" s="55">
        <v>1562380</v>
      </c>
      <c r="O18" s="55">
        <v>1581367</v>
      </c>
      <c r="P18" s="55">
        <v>1599348</v>
      </c>
      <c r="Q18" s="55">
        <v>1616212</v>
      </c>
      <c r="R18" s="55">
        <v>1632212</v>
      </c>
      <c r="S18" s="55">
        <v>1647445</v>
      </c>
      <c r="T18" s="55">
        <v>1661676</v>
      </c>
      <c r="U18" s="55">
        <v>1674592</v>
      </c>
    </row>
    <row r="19" spans="1:21" x14ac:dyDescent="0.3">
      <c r="A19" s="395" t="s">
        <v>75</v>
      </c>
      <c r="B19" s="392"/>
      <c r="C19" s="55">
        <v>768977</v>
      </c>
      <c r="D19" s="55">
        <v>782131</v>
      </c>
      <c r="E19" s="55">
        <v>796269</v>
      </c>
      <c r="F19" s="55">
        <v>811301</v>
      </c>
      <c r="G19" s="55">
        <v>827062</v>
      </c>
      <c r="H19" s="55">
        <v>843250</v>
      </c>
      <c r="I19" s="55">
        <v>859564</v>
      </c>
      <c r="J19" s="55">
        <v>875789</v>
      </c>
      <c r="K19" s="55">
        <v>891753</v>
      </c>
      <c r="L19" s="55">
        <v>907365</v>
      </c>
      <c r="M19" s="55">
        <v>922630</v>
      </c>
      <c r="N19" s="55">
        <v>937534</v>
      </c>
      <c r="O19" s="55">
        <v>952002</v>
      </c>
      <c r="P19" s="55">
        <v>965939</v>
      </c>
      <c r="Q19" s="55">
        <v>979274</v>
      </c>
      <c r="R19" s="55">
        <v>992040</v>
      </c>
      <c r="S19" s="55">
        <v>1004305</v>
      </c>
      <c r="T19" s="55">
        <v>1016137</v>
      </c>
      <c r="U19" s="55">
        <v>1027636</v>
      </c>
    </row>
    <row r="20" spans="1:21" x14ac:dyDescent="0.3">
      <c r="A20" s="395" t="s">
        <v>37</v>
      </c>
      <c r="B20" s="392"/>
      <c r="C20" s="55">
        <v>591765</v>
      </c>
      <c r="D20" s="55">
        <v>594002</v>
      </c>
      <c r="E20" s="55">
        <v>596674</v>
      </c>
      <c r="F20" s="55">
        <v>600364</v>
      </c>
      <c r="G20" s="55">
        <v>605553</v>
      </c>
      <c r="H20" s="55">
        <v>612328</v>
      </c>
      <c r="I20" s="55">
        <v>620650</v>
      </c>
      <c r="J20" s="55">
        <v>630471</v>
      </c>
      <c r="K20" s="55">
        <v>641608</v>
      </c>
      <c r="L20" s="55">
        <v>653747</v>
      </c>
      <c r="M20" s="55">
        <v>666375</v>
      </c>
      <c r="N20" s="55">
        <v>679008</v>
      </c>
      <c r="O20" s="55">
        <v>691324</v>
      </c>
      <c r="P20" s="55">
        <v>703062</v>
      </c>
      <c r="Q20" s="55">
        <v>714093</v>
      </c>
      <c r="R20" s="55">
        <v>724497</v>
      </c>
      <c r="S20" s="55">
        <v>734343</v>
      </c>
      <c r="T20" s="55">
        <v>743604</v>
      </c>
      <c r="U20" s="55">
        <v>752268</v>
      </c>
    </row>
    <row r="21" spans="1:21" x14ac:dyDescent="0.3">
      <c r="A21" s="395" t="s">
        <v>287</v>
      </c>
      <c r="B21" s="392"/>
      <c r="C21" s="55">
        <v>14173</v>
      </c>
      <c r="D21" s="55">
        <v>13828</v>
      </c>
      <c r="E21" s="55">
        <v>13540</v>
      </c>
      <c r="F21" s="55">
        <v>13309</v>
      </c>
      <c r="G21" s="55">
        <v>13130</v>
      </c>
      <c r="H21" s="55">
        <v>12992</v>
      </c>
      <c r="I21" s="55">
        <v>12884</v>
      </c>
      <c r="J21" s="55">
        <v>12797</v>
      </c>
      <c r="K21" s="55">
        <v>12722</v>
      </c>
      <c r="L21" s="55">
        <v>12656</v>
      </c>
      <c r="M21" s="55">
        <v>12595</v>
      </c>
      <c r="N21" s="55">
        <v>12538</v>
      </c>
      <c r="O21" s="55">
        <v>12480</v>
      </c>
      <c r="P21" s="55">
        <v>12419</v>
      </c>
      <c r="Q21" s="55">
        <v>12356</v>
      </c>
      <c r="R21" s="55">
        <v>12293</v>
      </c>
      <c r="S21" s="55">
        <v>12229</v>
      </c>
      <c r="T21" s="55">
        <v>12162</v>
      </c>
      <c r="U21" s="55">
        <v>12090</v>
      </c>
    </row>
    <row r="22" spans="1:21" x14ac:dyDescent="0.3">
      <c r="A22" s="395" t="s">
        <v>288</v>
      </c>
      <c r="B22" s="392"/>
      <c r="C22" s="55">
        <v>7152</v>
      </c>
      <c r="D22" s="55">
        <v>7146</v>
      </c>
      <c r="E22" s="55">
        <v>7148</v>
      </c>
      <c r="F22" s="55">
        <v>7161</v>
      </c>
      <c r="G22" s="55">
        <v>7189</v>
      </c>
      <c r="H22" s="55">
        <v>7229</v>
      </c>
      <c r="I22" s="55">
        <v>7279</v>
      </c>
      <c r="J22" s="55">
        <v>7340</v>
      </c>
      <c r="K22" s="55">
        <v>7410</v>
      </c>
      <c r="L22" s="55">
        <v>7491</v>
      </c>
      <c r="M22" s="55">
        <v>7579</v>
      </c>
      <c r="N22" s="55">
        <v>7673</v>
      </c>
      <c r="O22" s="55">
        <v>7771</v>
      </c>
      <c r="P22" s="55">
        <v>7871</v>
      </c>
      <c r="Q22" s="55">
        <v>7973</v>
      </c>
      <c r="R22" s="55">
        <v>8076.0000000000009</v>
      </c>
      <c r="S22" s="55">
        <v>8178.0000000000009</v>
      </c>
      <c r="T22" s="55">
        <v>8279</v>
      </c>
      <c r="U22" s="55">
        <v>8375</v>
      </c>
    </row>
    <row r="23" spans="1:21" x14ac:dyDescent="0.3">
      <c r="A23" s="395" t="s">
        <v>38</v>
      </c>
      <c r="B23" s="392"/>
      <c r="C23" s="55">
        <v>992874</v>
      </c>
      <c r="D23" s="55">
        <v>1010363</v>
      </c>
      <c r="E23" s="55">
        <v>1028662</v>
      </c>
      <c r="F23" s="55">
        <v>1047810.9999999999</v>
      </c>
      <c r="G23" s="55">
        <v>1067800</v>
      </c>
      <c r="H23" s="55">
        <v>1088466</v>
      </c>
      <c r="I23" s="55">
        <v>1109610</v>
      </c>
      <c r="J23" s="55">
        <v>1131066</v>
      </c>
      <c r="K23" s="55">
        <v>1152670</v>
      </c>
      <c r="L23" s="55">
        <v>1174284</v>
      </c>
      <c r="M23" s="55">
        <v>1195794</v>
      </c>
      <c r="N23" s="55">
        <v>1217078</v>
      </c>
      <c r="O23" s="55">
        <v>1238003</v>
      </c>
      <c r="P23" s="55">
        <v>1258461</v>
      </c>
      <c r="Q23" s="55">
        <v>1278394</v>
      </c>
      <c r="R23" s="55">
        <v>1297840</v>
      </c>
      <c r="S23" s="55">
        <v>1316835</v>
      </c>
      <c r="T23" s="55">
        <v>1335380</v>
      </c>
      <c r="U23" s="55">
        <v>1353504</v>
      </c>
    </row>
    <row r="24" spans="1:21" x14ac:dyDescent="0.3">
      <c r="A24" s="395" t="s">
        <v>289</v>
      </c>
      <c r="B24" s="392"/>
      <c r="C24" s="55">
        <v>14071</v>
      </c>
      <c r="D24" s="55">
        <v>13923</v>
      </c>
      <c r="E24" s="55">
        <v>13755</v>
      </c>
      <c r="F24" s="55">
        <v>13575</v>
      </c>
      <c r="G24" s="55">
        <v>13394</v>
      </c>
      <c r="H24" s="55">
        <v>13225</v>
      </c>
      <c r="I24" s="55">
        <v>13079</v>
      </c>
      <c r="J24" s="55">
        <v>12961</v>
      </c>
      <c r="K24" s="55">
        <v>12873</v>
      </c>
      <c r="L24" s="55">
        <v>12815</v>
      </c>
      <c r="M24" s="55">
        <v>12779</v>
      </c>
      <c r="N24" s="55">
        <v>12756</v>
      </c>
      <c r="O24" s="55">
        <v>12742</v>
      </c>
      <c r="P24" s="55">
        <v>12734</v>
      </c>
      <c r="Q24" s="55">
        <v>12730</v>
      </c>
      <c r="R24" s="55">
        <v>12726</v>
      </c>
      <c r="S24" s="55">
        <v>12722</v>
      </c>
      <c r="T24" s="55">
        <v>12713</v>
      </c>
      <c r="U24" s="55">
        <v>12695</v>
      </c>
    </row>
    <row r="25" spans="1:21" x14ac:dyDescent="0.3">
      <c r="A25" s="395" t="s">
        <v>43</v>
      </c>
      <c r="B25" s="392"/>
      <c r="C25" s="55">
        <v>354656</v>
      </c>
      <c r="D25" s="55">
        <v>359888</v>
      </c>
      <c r="E25" s="55">
        <v>365995</v>
      </c>
      <c r="F25" s="55">
        <v>372628</v>
      </c>
      <c r="G25" s="55">
        <v>379269</v>
      </c>
      <c r="H25" s="55">
        <v>385367</v>
      </c>
      <c r="I25" s="55">
        <v>390528</v>
      </c>
      <c r="J25" s="55">
        <v>394616</v>
      </c>
      <c r="K25" s="55">
        <v>397657</v>
      </c>
      <c r="L25" s="55">
        <v>399861</v>
      </c>
      <c r="M25" s="55">
        <v>401650</v>
      </c>
      <c r="N25" s="55">
        <v>403388</v>
      </c>
      <c r="O25" s="55">
        <v>405239</v>
      </c>
      <c r="P25" s="55">
        <v>407309</v>
      </c>
      <c r="Q25" s="55">
        <v>409621</v>
      </c>
      <c r="R25" s="55">
        <v>412078</v>
      </c>
      <c r="S25" s="55">
        <v>414605</v>
      </c>
      <c r="T25" s="55">
        <v>417202</v>
      </c>
      <c r="U25" s="55">
        <v>419869</v>
      </c>
    </row>
    <row r="26" spans="1:21" x14ac:dyDescent="0.3">
      <c r="A26" s="395" t="s">
        <v>290</v>
      </c>
      <c r="B26" s="392"/>
      <c r="C26" s="55">
        <v>1655</v>
      </c>
      <c r="D26" s="55">
        <v>1647</v>
      </c>
      <c r="E26" s="55">
        <v>1641</v>
      </c>
      <c r="F26" s="55">
        <v>1636</v>
      </c>
      <c r="G26" s="55">
        <v>1631</v>
      </c>
      <c r="H26" s="55">
        <v>1621</v>
      </c>
      <c r="I26" s="55">
        <v>1607</v>
      </c>
      <c r="J26" s="55">
        <v>1588</v>
      </c>
      <c r="K26" s="55">
        <v>1565</v>
      </c>
      <c r="L26" s="55">
        <v>1540</v>
      </c>
      <c r="M26" s="55">
        <v>1514</v>
      </c>
      <c r="N26" s="55">
        <v>1489</v>
      </c>
      <c r="O26" s="55">
        <v>1468</v>
      </c>
      <c r="P26" s="55">
        <v>1450</v>
      </c>
      <c r="Q26" s="55">
        <v>1435</v>
      </c>
      <c r="R26" s="55">
        <v>1424</v>
      </c>
      <c r="S26" s="55">
        <v>1415</v>
      </c>
      <c r="T26" s="55">
        <v>1409</v>
      </c>
      <c r="U26" s="55">
        <v>1404</v>
      </c>
    </row>
    <row r="27" spans="1:21" x14ac:dyDescent="0.3">
      <c r="A27" s="395" t="s">
        <v>84</v>
      </c>
      <c r="B27" s="392"/>
      <c r="C27" s="55">
        <v>551043</v>
      </c>
      <c r="D27" s="55">
        <v>561558</v>
      </c>
      <c r="E27" s="55">
        <v>573071</v>
      </c>
      <c r="F27" s="55">
        <v>585662</v>
      </c>
      <c r="G27" s="55">
        <v>599303</v>
      </c>
      <c r="H27" s="55">
        <v>613763</v>
      </c>
      <c r="I27" s="55">
        <v>628805</v>
      </c>
      <c r="J27" s="55">
        <v>644285</v>
      </c>
      <c r="K27" s="55">
        <v>660094</v>
      </c>
      <c r="L27" s="55">
        <v>676165</v>
      </c>
      <c r="M27" s="55">
        <v>692418</v>
      </c>
      <c r="N27" s="55">
        <v>708734</v>
      </c>
      <c r="O27" s="55">
        <v>724952</v>
      </c>
      <c r="P27" s="55">
        <v>740913</v>
      </c>
      <c r="Q27" s="55">
        <v>756487</v>
      </c>
      <c r="R27" s="55">
        <v>771621</v>
      </c>
      <c r="S27" s="55">
        <v>786272</v>
      </c>
      <c r="T27" s="55">
        <v>800383</v>
      </c>
      <c r="U27" s="55">
        <v>813905</v>
      </c>
    </row>
    <row r="28" spans="1:21" x14ac:dyDescent="0.3">
      <c r="A28" s="395" t="s">
        <v>85</v>
      </c>
      <c r="B28" s="392"/>
      <c r="C28" s="55">
        <v>371718</v>
      </c>
      <c r="D28" s="55">
        <v>376506</v>
      </c>
      <c r="E28" s="55">
        <v>380125</v>
      </c>
      <c r="F28" s="55">
        <v>382710</v>
      </c>
      <c r="G28" s="55">
        <v>384473</v>
      </c>
      <c r="H28" s="55">
        <v>385757</v>
      </c>
      <c r="I28" s="55">
        <v>386900</v>
      </c>
      <c r="J28" s="55">
        <v>388144</v>
      </c>
      <c r="K28" s="55">
        <v>389714</v>
      </c>
      <c r="L28" s="55">
        <v>391749</v>
      </c>
      <c r="M28" s="55">
        <v>394214</v>
      </c>
      <c r="N28" s="55">
        <v>397061</v>
      </c>
      <c r="O28" s="55">
        <v>400289</v>
      </c>
      <c r="P28" s="55">
        <v>403861</v>
      </c>
      <c r="Q28" s="55">
        <v>407699</v>
      </c>
      <c r="R28" s="55">
        <v>411668</v>
      </c>
      <c r="S28" s="55">
        <v>415647</v>
      </c>
      <c r="T28" s="55">
        <v>419562</v>
      </c>
      <c r="U28" s="55">
        <v>423356</v>
      </c>
    </row>
    <row r="29" spans="1:21" x14ac:dyDescent="0.3">
      <c r="A29" s="395" t="s">
        <v>47</v>
      </c>
      <c r="B29" s="392"/>
      <c r="C29" s="55">
        <v>1503311</v>
      </c>
      <c r="D29" s="55">
        <v>1525391</v>
      </c>
      <c r="E29" s="55">
        <v>1546280</v>
      </c>
      <c r="F29" s="55">
        <v>1566448</v>
      </c>
      <c r="G29" s="55">
        <v>1586458</v>
      </c>
      <c r="H29" s="55">
        <v>1606706</v>
      </c>
      <c r="I29" s="55">
        <v>1627397</v>
      </c>
      <c r="J29" s="55">
        <v>1648528</v>
      </c>
      <c r="K29" s="55">
        <v>1669841</v>
      </c>
      <c r="L29" s="55">
        <v>1690877</v>
      </c>
      <c r="M29" s="55">
        <v>1711074</v>
      </c>
      <c r="N29" s="55">
        <v>1730011</v>
      </c>
      <c r="O29" s="55">
        <v>1747536</v>
      </c>
      <c r="P29" s="55">
        <v>1763674</v>
      </c>
      <c r="Q29" s="55">
        <v>1778618</v>
      </c>
      <c r="R29" s="55">
        <v>1792721</v>
      </c>
      <c r="S29" s="55">
        <v>1806253</v>
      </c>
      <c r="T29" s="55">
        <v>1819280</v>
      </c>
      <c r="U29" s="55">
        <v>1831760</v>
      </c>
    </row>
    <row r="30" spans="1:21" x14ac:dyDescent="0.3">
      <c r="A30" s="395" t="s">
        <v>210</v>
      </c>
      <c r="B30" s="392"/>
      <c r="C30" s="55">
        <v>1851896</v>
      </c>
      <c r="D30" s="55">
        <v>1884332</v>
      </c>
      <c r="E30" s="55">
        <v>1918382</v>
      </c>
      <c r="F30" s="55">
        <v>1954284</v>
      </c>
      <c r="G30" s="55">
        <v>1991957</v>
      </c>
      <c r="H30" s="55">
        <v>2030920</v>
      </c>
      <c r="I30" s="55">
        <v>2070790</v>
      </c>
      <c r="J30" s="55">
        <v>2111498</v>
      </c>
      <c r="K30" s="55">
        <v>2153054</v>
      </c>
      <c r="L30" s="55">
        <v>2195526</v>
      </c>
      <c r="M30" s="55">
        <v>2238961</v>
      </c>
      <c r="N30" s="55">
        <v>2283335</v>
      </c>
      <c r="O30" s="55">
        <v>2328546</v>
      </c>
      <c r="P30" s="55">
        <v>2374520</v>
      </c>
      <c r="Q30" s="55">
        <v>2421188</v>
      </c>
      <c r="R30" s="55">
        <v>2468396</v>
      </c>
      <c r="S30" s="55">
        <v>2515940</v>
      </c>
      <c r="T30" s="55">
        <v>2563603</v>
      </c>
      <c r="U30" s="55">
        <v>2611148</v>
      </c>
    </row>
    <row r="31" spans="1:21" x14ac:dyDescent="0.3">
      <c r="A31" s="395" t="s">
        <v>48</v>
      </c>
      <c r="B31" s="392"/>
      <c r="C31" s="55">
        <v>580654</v>
      </c>
      <c r="D31" s="55">
        <v>588204</v>
      </c>
      <c r="E31" s="55">
        <v>595334</v>
      </c>
      <c r="F31" s="55">
        <v>602470</v>
      </c>
      <c r="G31" s="55">
        <v>610171</v>
      </c>
      <c r="H31" s="55">
        <v>618927</v>
      </c>
      <c r="I31" s="55">
        <v>629055</v>
      </c>
      <c r="J31" s="55">
        <v>640635</v>
      </c>
      <c r="K31" s="55">
        <v>653578</v>
      </c>
      <c r="L31" s="55">
        <v>667613</v>
      </c>
      <c r="M31" s="55">
        <v>682236</v>
      </c>
      <c r="N31" s="55">
        <v>696995</v>
      </c>
      <c r="O31" s="55">
        <v>711645</v>
      </c>
      <c r="P31" s="55">
        <v>726022</v>
      </c>
      <c r="Q31" s="55">
        <v>740082</v>
      </c>
      <c r="R31" s="55">
        <v>753921</v>
      </c>
      <c r="S31" s="55">
        <v>767596</v>
      </c>
      <c r="T31" s="55">
        <v>781061</v>
      </c>
      <c r="U31" s="55">
        <v>794260</v>
      </c>
    </row>
    <row r="32" spans="1:21" x14ac:dyDescent="0.3">
      <c r="A32" s="395" t="s">
        <v>49</v>
      </c>
      <c r="B32" s="392"/>
      <c r="C32" s="55">
        <v>477148</v>
      </c>
      <c r="D32" s="55">
        <v>477132</v>
      </c>
      <c r="E32" s="55">
        <v>473623</v>
      </c>
      <c r="F32" s="55">
        <v>467254</v>
      </c>
      <c r="G32" s="55">
        <v>459048</v>
      </c>
      <c r="H32" s="55">
        <v>450407</v>
      </c>
      <c r="I32" s="55">
        <v>442553</v>
      </c>
      <c r="J32" s="55">
        <v>436189</v>
      </c>
      <c r="K32" s="55">
        <v>431769</v>
      </c>
      <c r="L32" s="55">
        <v>429358</v>
      </c>
      <c r="M32" s="55">
        <v>428441</v>
      </c>
      <c r="N32" s="55">
        <v>428578</v>
      </c>
      <c r="O32" s="55">
        <v>429674</v>
      </c>
      <c r="P32" s="55">
        <v>431675</v>
      </c>
      <c r="Q32" s="55">
        <v>434547</v>
      </c>
      <c r="R32" s="55">
        <v>438179</v>
      </c>
      <c r="S32" s="55">
        <v>442400</v>
      </c>
      <c r="T32" s="55">
        <v>447015</v>
      </c>
      <c r="U32" s="55">
        <v>451847</v>
      </c>
    </row>
    <row r="33" spans="1:21" x14ac:dyDescent="0.3">
      <c r="A33" s="396" t="s">
        <v>241</v>
      </c>
      <c r="B33" s="392"/>
      <c r="C33" s="55">
        <v>6021301</v>
      </c>
      <c r="D33" s="55">
        <v>6145113</v>
      </c>
      <c r="E33" s="55">
        <v>6265005</v>
      </c>
      <c r="F33" s="55">
        <v>6381868</v>
      </c>
      <c r="G33" s="55">
        <v>6496947</v>
      </c>
      <c r="H33" s="55">
        <v>6611811</v>
      </c>
      <c r="I33" s="55">
        <v>6727851</v>
      </c>
      <c r="J33" s="55">
        <v>6845950</v>
      </c>
      <c r="K33" s="55">
        <v>6966774</v>
      </c>
      <c r="L33" s="55">
        <v>7090552</v>
      </c>
      <c r="M33" s="55">
        <v>7216679</v>
      </c>
      <c r="N33" s="55">
        <v>7344534</v>
      </c>
      <c r="O33" s="55">
        <v>7473842</v>
      </c>
      <c r="P33" s="55">
        <v>7604454</v>
      </c>
      <c r="Q33" s="55">
        <v>7736238</v>
      </c>
      <c r="R33" s="55">
        <v>7868785</v>
      </c>
      <c r="S33" s="55">
        <v>8001488</v>
      </c>
      <c r="T33" s="55">
        <v>8133678</v>
      </c>
      <c r="U33" s="55">
        <v>8264651</v>
      </c>
    </row>
    <row r="34" spans="1:21" x14ac:dyDescent="0.3">
      <c r="A34" s="395" t="s">
        <v>291</v>
      </c>
      <c r="B34" s="392"/>
      <c r="C34" s="55">
        <v>1118641</v>
      </c>
      <c r="D34" s="55">
        <v>1141853</v>
      </c>
      <c r="E34" s="55">
        <v>1164359</v>
      </c>
      <c r="F34" s="55">
        <v>1186623</v>
      </c>
      <c r="G34" s="55">
        <v>1209197</v>
      </c>
      <c r="H34" s="55">
        <v>1232607</v>
      </c>
      <c r="I34" s="55">
        <v>1257284</v>
      </c>
      <c r="J34" s="55">
        <v>1283488</v>
      </c>
      <c r="K34" s="55">
        <v>1311356</v>
      </c>
      <c r="L34" s="55">
        <v>1340839</v>
      </c>
      <c r="M34" s="55">
        <v>1371578</v>
      </c>
      <c r="N34" s="55">
        <v>1403233</v>
      </c>
      <c r="O34" s="55">
        <v>1435637</v>
      </c>
      <c r="P34" s="55">
        <v>1468674</v>
      </c>
      <c r="Q34" s="55">
        <v>1502275</v>
      </c>
      <c r="R34" s="55">
        <v>1536376</v>
      </c>
      <c r="S34" s="55">
        <v>1570862</v>
      </c>
      <c r="T34" s="55">
        <v>1605567</v>
      </c>
      <c r="U34" s="55">
        <v>1640313</v>
      </c>
    </row>
    <row r="35" spans="1:21" x14ac:dyDescent="0.3">
      <c r="A35" s="395" t="s">
        <v>59</v>
      </c>
      <c r="B35" s="392"/>
      <c r="C35" s="55">
        <v>828936</v>
      </c>
      <c r="D35" s="55">
        <v>840585</v>
      </c>
      <c r="E35" s="55">
        <v>851648</v>
      </c>
      <c r="F35" s="55">
        <v>862279</v>
      </c>
      <c r="G35" s="55">
        <v>872648</v>
      </c>
      <c r="H35" s="55">
        <v>882940</v>
      </c>
      <c r="I35" s="55">
        <v>893324</v>
      </c>
      <c r="J35" s="55">
        <v>903930</v>
      </c>
      <c r="K35" s="55">
        <v>914863</v>
      </c>
      <c r="L35" s="55">
        <v>926164</v>
      </c>
      <c r="M35" s="55">
        <v>937760</v>
      </c>
      <c r="N35" s="55">
        <v>949569</v>
      </c>
      <c r="O35" s="55">
        <v>961556</v>
      </c>
      <c r="P35" s="55">
        <v>973669</v>
      </c>
      <c r="Q35" s="55">
        <v>985847</v>
      </c>
      <c r="R35" s="55">
        <v>998024</v>
      </c>
      <c r="S35" s="55">
        <v>1010141</v>
      </c>
      <c r="T35" s="55">
        <v>1022159</v>
      </c>
      <c r="U35" s="55">
        <v>1034061.9999999999</v>
      </c>
    </row>
    <row r="36" spans="1:21" x14ac:dyDescent="0.3">
      <c r="A36" s="395" t="s">
        <v>521</v>
      </c>
      <c r="B36" s="392"/>
      <c r="C36" s="55">
        <v>167647</v>
      </c>
      <c r="D36" s="55">
        <v>166811</v>
      </c>
      <c r="E36" s="55">
        <v>165993</v>
      </c>
      <c r="F36" s="55">
        <v>165382</v>
      </c>
      <c r="G36" s="55">
        <v>165153</v>
      </c>
      <c r="H36" s="55">
        <v>165387</v>
      </c>
      <c r="I36" s="55">
        <v>166125</v>
      </c>
      <c r="J36" s="55">
        <v>167385</v>
      </c>
      <c r="K36" s="55">
        <v>169149</v>
      </c>
      <c r="L36" s="55">
        <v>171351</v>
      </c>
      <c r="M36" s="55">
        <v>173829</v>
      </c>
      <c r="N36" s="55">
        <v>176422</v>
      </c>
      <c r="O36" s="55">
        <v>179016</v>
      </c>
      <c r="P36" s="55">
        <v>181516</v>
      </c>
      <c r="Q36" s="55">
        <v>183857</v>
      </c>
      <c r="R36" s="55">
        <v>186025</v>
      </c>
      <c r="S36" s="55">
        <v>188000</v>
      </c>
      <c r="T36" s="55">
        <v>189736</v>
      </c>
      <c r="U36" s="55">
        <v>191196</v>
      </c>
    </row>
    <row r="37" spans="1:21" x14ac:dyDescent="0.3">
      <c r="A37" s="395" t="s">
        <v>60</v>
      </c>
      <c r="B37" s="392"/>
      <c r="C37" s="55">
        <v>582289</v>
      </c>
      <c r="D37" s="55">
        <v>593983</v>
      </c>
      <c r="E37" s="55">
        <v>605797</v>
      </c>
      <c r="F37" s="55">
        <v>617740</v>
      </c>
      <c r="G37" s="55">
        <v>629786</v>
      </c>
      <c r="H37" s="55">
        <v>641852</v>
      </c>
      <c r="I37" s="55">
        <v>653858</v>
      </c>
      <c r="J37" s="55">
        <v>665764</v>
      </c>
      <c r="K37" s="55">
        <v>677534</v>
      </c>
      <c r="L37" s="55">
        <v>689153</v>
      </c>
      <c r="M37" s="55">
        <v>700615</v>
      </c>
      <c r="N37" s="55">
        <v>711913</v>
      </c>
      <c r="O37" s="55">
        <v>723024</v>
      </c>
      <c r="P37" s="55">
        <v>733937</v>
      </c>
      <c r="Q37" s="55">
        <v>744646</v>
      </c>
      <c r="R37" s="55">
        <v>755153</v>
      </c>
      <c r="S37" s="55">
        <v>765451</v>
      </c>
      <c r="T37" s="55">
        <v>775527</v>
      </c>
      <c r="U37" s="55">
        <v>785356</v>
      </c>
    </row>
    <row r="38" spans="1:21" x14ac:dyDescent="0.3">
      <c r="A38" s="395" t="s">
        <v>62</v>
      </c>
      <c r="B38" s="392"/>
      <c r="C38" s="55">
        <v>162847</v>
      </c>
      <c r="D38" s="55">
        <v>164821</v>
      </c>
      <c r="E38" s="55">
        <v>166522</v>
      </c>
      <c r="F38" s="55">
        <v>168042</v>
      </c>
      <c r="G38" s="55">
        <v>169491</v>
      </c>
      <c r="H38" s="55">
        <v>170992</v>
      </c>
      <c r="I38" s="55">
        <v>172652</v>
      </c>
      <c r="J38" s="55">
        <v>174549</v>
      </c>
      <c r="K38" s="55">
        <v>176735</v>
      </c>
      <c r="L38" s="55">
        <v>179227</v>
      </c>
      <c r="M38" s="55">
        <v>181968</v>
      </c>
      <c r="N38" s="55">
        <v>184907</v>
      </c>
      <c r="O38" s="55">
        <v>188023</v>
      </c>
      <c r="P38" s="55">
        <v>191298</v>
      </c>
      <c r="Q38" s="55">
        <v>194718</v>
      </c>
      <c r="R38" s="55">
        <v>198255</v>
      </c>
      <c r="S38" s="55">
        <v>201872</v>
      </c>
      <c r="T38" s="55">
        <v>205530</v>
      </c>
      <c r="U38" s="55">
        <v>209189</v>
      </c>
    </row>
    <row r="39" spans="1:21" x14ac:dyDescent="0.3">
      <c r="A39" s="395" t="s">
        <v>178</v>
      </c>
      <c r="B39" s="392"/>
      <c r="C39" s="55">
        <v>3058271</v>
      </c>
      <c r="D39" s="55">
        <v>3131420</v>
      </c>
      <c r="E39" s="55">
        <v>3202225</v>
      </c>
      <c r="F39" s="55">
        <v>3270749</v>
      </c>
      <c r="G39" s="55">
        <v>3337327</v>
      </c>
      <c r="H39" s="55">
        <v>3402717</v>
      </c>
      <c r="I39" s="55">
        <v>3467631</v>
      </c>
      <c r="J39" s="55">
        <v>3532492</v>
      </c>
      <c r="K39" s="55">
        <v>3597686</v>
      </c>
      <c r="L39" s="55">
        <v>3663456</v>
      </c>
      <c r="M39" s="55">
        <v>3729767</v>
      </c>
      <c r="N39" s="55">
        <v>3796564</v>
      </c>
      <c r="O39" s="55">
        <v>3863881</v>
      </c>
      <c r="P39" s="55">
        <v>3931827</v>
      </c>
      <c r="Q39" s="55">
        <v>4000478</v>
      </c>
      <c r="R39" s="55">
        <v>4069616</v>
      </c>
      <c r="S39" s="55">
        <v>4138889</v>
      </c>
      <c r="T39" s="55">
        <v>4207919</v>
      </c>
      <c r="U39" s="55">
        <v>4276290</v>
      </c>
    </row>
    <row r="40" spans="1:21" x14ac:dyDescent="0.3">
      <c r="A40" s="395" t="s">
        <v>292</v>
      </c>
      <c r="B40" s="392"/>
      <c r="C40" s="55">
        <v>37681</v>
      </c>
      <c r="D40" s="55">
        <v>38692</v>
      </c>
      <c r="E40" s="55">
        <v>39683</v>
      </c>
      <c r="F40" s="55">
        <v>40658</v>
      </c>
      <c r="G40" s="55">
        <v>41623</v>
      </c>
      <c r="H40" s="55">
        <v>42580</v>
      </c>
      <c r="I40" s="55">
        <v>43533</v>
      </c>
      <c r="J40" s="55">
        <v>44478</v>
      </c>
      <c r="K40" s="55">
        <v>45415</v>
      </c>
      <c r="L40" s="55">
        <v>46338</v>
      </c>
      <c r="M40" s="55">
        <v>47242</v>
      </c>
      <c r="N40" s="55">
        <v>48120</v>
      </c>
      <c r="O40" s="55">
        <v>48967</v>
      </c>
      <c r="P40" s="55">
        <v>49776</v>
      </c>
      <c r="Q40" s="55">
        <v>50543</v>
      </c>
      <c r="R40" s="55">
        <v>51267</v>
      </c>
      <c r="S40" s="55">
        <v>51949</v>
      </c>
      <c r="T40" s="55">
        <v>52592</v>
      </c>
      <c r="U40" s="55">
        <v>53197</v>
      </c>
    </row>
    <row r="41" spans="1:21" x14ac:dyDescent="0.3">
      <c r="A41" s="395" t="s">
        <v>187</v>
      </c>
      <c r="B41" s="392"/>
      <c r="C41" s="55">
        <v>58473</v>
      </c>
      <c r="D41" s="55">
        <v>60410</v>
      </c>
      <c r="E41" s="55">
        <v>62220</v>
      </c>
      <c r="F41" s="55">
        <v>63816</v>
      </c>
      <c r="G41" s="55">
        <v>65119</v>
      </c>
      <c r="H41" s="55">
        <v>66105</v>
      </c>
      <c r="I41" s="55">
        <v>66778</v>
      </c>
      <c r="J41" s="55">
        <v>67154</v>
      </c>
      <c r="K41" s="55">
        <v>67272</v>
      </c>
      <c r="L41" s="55">
        <v>67194</v>
      </c>
      <c r="M41" s="55">
        <v>67012</v>
      </c>
      <c r="N41" s="55">
        <v>66810</v>
      </c>
      <c r="O41" s="55">
        <v>66646</v>
      </c>
      <c r="P41" s="55">
        <v>66561</v>
      </c>
      <c r="Q41" s="55">
        <v>66569</v>
      </c>
      <c r="R41" s="55">
        <v>66651</v>
      </c>
      <c r="S41" s="55">
        <v>66794</v>
      </c>
      <c r="T41" s="55">
        <v>67007</v>
      </c>
      <c r="U41" s="55">
        <v>67300</v>
      </c>
    </row>
    <row r="42" spans="1:21" x14ac:dyDescent="0.3">
      <c r="A42" s="395" t="s">
        <v>83</v>
      </c>
      <c r="B42" s="392"/>
      <c r="C42" s="55">
        <v>6516</v>
      </c>
      <c r="D42" s="55">
        <v>6538</v>
      </c>
      <c r="E42" s="55">
        <v>6558</v>
      </c>
      <c r="F42" s="55">
        <v>6579</v>
      </c>
      <c r="G42" s="55">
        <v>6603</v>
      </c>
      <c r="H42" s="55">
        <v>6631</v>
      </c>
      <c r="I42" s="55">
        <v>6666</v>
      </c>
      <c r="J42" s="55">
        <v>6710</v>
      </c>
      <c r="K42" s="55">
        <v>6764</v>
      </c>
      <c r="L42" s="55">
        <v>6830</v>
      </c>
      <c r="M42" s="55">
        <v>6908</v>
      </c>
      <c r="N42" s="55">
        <v>6996</v>
      </c>
      <c r="O42" s="55">
        <v>7092</v>
      </c>
      <c r="P42" s="55">
        <v>7196</v>
      </c>
      <c r="Q42" s="55">
        <v>7305</v>
      </c>
      <c r="R42" s="55">
        <v>7418</v>
      </c>
      <c r="S42" s="55">
        <v>7530</v>
      </c>
      <c r="T42" s="55">
        <v>7641</v>
      </c>
      <c r="U42" s="55">
        <v>7748</v>
      </c>
    </row>
    <row r="43" spans="1:21" x14ac:dyDescent="0.3">
      <c r="A43" s="396" t="s">
        <v>244</v>
      </c>
      <c r="B43" s="392"/>
      <c r="C43" s="55">
        <v>5716010</v>
      </c>
      <c r="D43" s="55">
        <v>5830333</v>
      </c>
      <c r="E43" s="55">
        <v>5915027</v>
      </c>
      <c r="F43" s="55">
        <v>5968330</v>
      </c>
      <c r="G43" s="55">
        <v>5992081</v>
      </c>
      <c r="H43" s="55">
        <v>5994395</v>
      </c>
      <c r="I43" s="55">
        <v>5983276</v>
      </c>
      <c r="J43" s="55">
        <v>5963419</v>
      </c>
      <c r="K43" s="55">
        <v>5938798</v>
      </c>
      <c r="L43" s="55">
        <v>5912116</v>
      </c>
      <c r="M43" s="55">
        <v>5884880</v>
      </c>
      <c r="N43" s="55">
        <v>5859188</v>
      </c>
      <c r="O43" s="55">
        <v>5838054</v>
      </c>
      <c r="P43" s="55">
        <v>5824201</v>
      </c>
      <c r="Q43" s="55">
        <v>5819305</v>
      </c>
      <c r="R43" s="55">
        <v>5823032</v>
      </c>
      <c r="S43" s="55">
        <v>5834962</v>
      </c>
      <c r="T43" s="55">
        <v>5855317</v>
      </c>
      <c r="U43" s="55">
        <v>5884421</v>
      </c>
    </row>
    <row r="44" spans="1:21" x14ac:dyDescent="0.3">
      <c r="A44" s="395" t="s">
        <v>293</v>
      </c>
      <c r="B44" s="392"/>
      <c r="C44" s="55">
        <v>947097</v>
      </c>
      <c r="D44" s="55">
        <v>973829</v>
      </c>
      <c r="E44" s="55">
        <v>996706</v>
      </c>
      <c r="F44" s="55">
        <v>1014169</v>
      </c>
      <c r="G44" s="55">
        <v>1024634</v>
      </c>
      <c r="H44" s="55">
        <v>1027617</v>
      </c>
      <c r="I44" s="55">
        <v>1023275</v>
      </c>
      <c r="J44" s="55">
        <v>1012188</v>
      </c>
      <c r="K44" s="55">
        <v>995368</v>
      </c>
      <c r="L44" s="55">
        <v>974225</v>
      </c>
      <c r="M44" s="55">
        <v>950782</v>
      </c>
      <c r="N44" s="55">
        <v>927002</v>
      </c>
      <c r="O44" s="55">
        <v>904312</v>
      </c>
      <c r="P44" s="55">
        <v>883756</v>
      </c>
      <c r="Q44" s="55">
        <v>865766</v>
      </c>
      <c r="R44" s="55">
        <v>849997</v>
      </c>
      <c r="S44" s="55">
        <v>836283</v>
      </c>
      <c r="T44" s="55">
        <v>824975</v>
      </c>
      <c r="U44" s="55">
        <v>816455</v>
      </c>
    </row>
    <row r="45" spans="1:21" x14ac:dyDescent="0.3">
      <c r="A45" s="395" t="s">
        <v>65</v>
      </c>
      <c r="B45" s="392"/>
      <c r="C45" s="55">
        <v>2458520</v>
      </c>
      <c r="D45" s="55">
        <v>2526424</v>
      </c>
      <c r="E45" s="55">
        <v>2573696</v>
      </c>
      <c r="F45" s="55">
        <v>2599719</v>
      </c>
      <c r="G45" s="55">
        <v>2606825</v>
      </c>
      <c r="H45" s="55">
        <v>2601733</v>
      </c>
      <c r="I45" s="55">
        <v>2590651</v>
      </c>
      <c r="J45" s="55">
        <v>2576835</v>
      </c>
      <c r="K45" s="55">
        <v>2562681</v>
      </c>
      <c r="L45" s="55">
        <v>2549359</v>
      </c>
      <c r="M45" s="55">
        <v>2536835</v>
      </c>
      <c r="N45" s="55">
        <v>2525623</v>
      </c>
      <c r="O45" s="55">
        <v>2517303</v>
      </c>
      <c r="P45" s="55">
        <v>2513569</v>
      </c>
      <c r="Q45" s="55">
        <v>2515718</v>
      </c>
      <c r="R45" s="55">
        <v>2523843</v>
      </c>
      <c r="S45" s="55">
        <v>2537765</v>
      </c>
      <c r="T45" s="55">
        <v>2557393</v>
      </c>
      <c r="U45" s="55">
        <v>2582638</v>
      </c>
    </row>
    <row r="46" spans="1:21" x14ac:dyDescent="0.3">
      <c r="A46" s="395" t="s">
        <v>294</v>
      </c>
      <c r="B46" s="392"/>
      <c r="C46" s="55">
        <v>135918</v>
      </c>
      <c r="D46" s="55">
        <v>135293</v>
      </c>
      <c r="E46" s="55">
        <v>134061</v>
      </c>
      <c r="F46" s="55">
        <v>132339</v>
      </c>
      <c r="G46" s="55">
        <v>130286</v>
      </c>
      <c r="H46" s="55">
        <v>128095</v>
      </c>
      <c r="I46" s="55">
        <v>125934</v>
      </c>
      <c r="J46" s="55">
        <v>123907</v>
      </c>
      <c r="K46" s="55">
        <v>122062</v>
      </c>
      <c r="L46" s="55">
        <v>120386</v>
      </c>
      <c r="M46" s="55">
        <v>118796</v>
      </c>
      <c r="N46" s="55">
        <v>117237</v>
      </c>
      <c r="O46" s="55">
        <v>115716</v>
      </c>
      <c r="P46" s="55">
        <v>114248</v>
      </c>
      <c r="Q46" s="55">
        <v>112852</v>
      </c>
      <c r="R46" s="55">
        <v>111553</v>
      </c>
      <c r="S46" s="55">
        <v>110378</v>
      </c>
      <c r="T46" s="55">
        <v>109346</v>
      </c>
      <c r="U46" s="55">
        <v>108485</v>
      </c>
    </row>
    <row r="47" spans="1:21" x14ac:dyDescent="0.3">
      <c r="A47" s="395" t="s">
        <v>202</v>
      </c>
      <c r="B47" s="392"/>
      <c r="C47" s="55">
        <v>703952</v>
      </c>
      <c r="D47" s="55">
        <v>707136</v>
      </c>
      <c r="E47" s="55">
        <v>706756</v>
      </c>
      <c r="F47" s="55">
        <v>703064</v>
      </c>
      <c r="G47" s="55">
        <v>696817</v>
      </c>
      <c r="H47" s="55">
        <v>689326</v>
      </c>
      <c r="I47" s="55">
        <v>681709</v>
      </c>
      <c r="J47" s="55">
        <v>674504</v>
      </c>
      <c r="K47" s="55">
        <v>668010</v>
      </c>
      <c r="L47" s="55">
        <v>662214</v>
      </c>
      <c r="M47" s="55">
        <v>656738</v>
      </c>
      <c r="N47" s="55">
        <v>651316</v>
      </c>
      <c r="O47" s="55">
        <v>645976</v>
      </c>
      <c r="P47" s="55">
        <v>640763</v>
      </c>
      <c r="Q47" s="55">
        <v>635724</v>
      </c>
      <c r="R47" s="55">
        <v>630918</v>
      </c>
      <c r="S47" s="55">
        <v>626400</v>
      </c>
      <c r="T47" s="55">
        <v>622213</v>
      </c>
      <c r="U47" s="55">
        <v>618411</v>
      </c>
    </row>
    <row r="48" spans="1:21" x14ac:dyDescent="0.3">
      <c r="A48" s="395" t="s">
        <v>87</v>
      </c>
      <c r="B48" s="392"/>
      <c r="C48" s="55">
        <v>1255713</v>
      </c>
      <c r="D48" s="55">
        <v>1269251</v>
      </c>
      <c r="E48" s="55">
        <v>1283402</v>
      </c>
      <c r="F48" s="55">
        <v>1298280</v>
      </c>
      <c r="G48" s="55">
        <v>1313930</v>
      </c>
      <c r="H48" s="55">
        <v>1330284</v>
      </c>
      <c r="I48" s="55">
        <v>1347276</v>
      </c>
      <c r="J48" s="55">
        <v>1364897</v>
      </c>
      <c r="K48" s="55">
        <v>1383196</v>
      </c>
      <c r="L48" s="55">
        <v>1402232</v>
      </c>
      <c r="M48" s="55">
        <v>1421953</v>
      </c>
      <c r="N48" s="55">
        <v>1442228</v>
      </c>
      <c r="O48" s="55">
        <v>1462886</v>
      </c>
      <c r="P48" s="55">
        <v>1483730</v>
      </c>
      <c r="Q48" s="55">
        <v>1504564</v>
      </c>
      <c r="R48" s="55">
        <v>1525198</v>
      </c>
      <c r="S48" s="55">
        <v>1545442</v>
      </c>
      <c r="T48" s="55">
        <v>1565132</v>
      </c>
      <c r="U48" s="55">
        <v>1584150</v>
      </c>
    </row>
    <row r="49" spans="1:21" x14ac:dyDescent="0.3">
      <c r="A49" s="395" t="s">
        <v>295</v>
      </c>
      <c r="B49" s="392"/>
      <c r="C49" s="55">
        <v>203761</v>
      </c>
      <c r="D49" s="55">
        <v>207218</v>
      </c>
      <c r="E49" s="55">
        <v>209127</v>
      </c>
      <c r="F49" s="55">
        <v>209413</v>
      </c>
      <c r="G49" s="55">
        <v>208195</v>
      </c>
      <c r="H49" s="55">
        <v>205904</v>
      </c>
      <c r="I49" s="55">
        <v>202950</v>
      </c>
      <c r="J49" s="55">
        <v>199553</v>
      </c>
      <c r="K49" s="55">
        <v>195883</v>
      </c>
      <c r="L49" s="55">
        <v>192034</v>
      </c>
      <c r="M49" s="55">
        <v>188043</v>
      </c>
      <c r="N49" s="55">
        <v>183990</v>
      </c>
      <c r="O49" s="55">
        <v>180018</v>
      </c>
      <c r="P49" s="55">
        <v>176250</v>
      </c>
      <c r="Q49" s="55">
        <v>172762</v>
      </c>
      <c r="R49" s="55">
        <v>169576</v>
      </c>
      <c r="S49" s="55">
        <v>166721</v>
      </c>
      <c r="T49" s="55">
        <v>164261</v>
      </c>
      <c r="U49" s="55">
        <v>162259</v>
      </c>
    </row>
    <row r="50" spans="1:21" x14ac:dyDescent="0.3">
      <c r="A50" s="395" t="s">
        <v>93</v>
      </c>
      <c r="B50" s="392"/>
      <c r="C50" s="55">
        <v>11049</v>
      </c>
      <c r="D50" s="55">
        <v>11182</v>
      </c>
      <c r="E50" s="55">
        <v>11279</v>
      </c>
      <c r="F50" s="55">
        <v>11346</v>
      </c>
      <c r="G50" s="55">
        <v>11394</v>
      </c>
      <c r="H50" s="55">
        <v>11436</v>
      </c>
      <c r="I50" s="55">
        <v>11481</v>
      </c>
      <c r="J50" s="55">
        <v>11535</v>
      </c>
      <c r="K50" s="55">
        <v>11598</v>
      </c>
      <c r="L50" s="55">
        <v>11666</v>
      </c>
      <c r="M50" s="55">
        <v>11733</v>
      </c>
      <c r="N50" s="55">
        <v>11792</v>
      </c>
      <c r="O50" s="55">
        <v>11843</v>
      </c>
      <c r="P50" s="55">
        <v>11885</v>
      </c>
      <c r="Q50" s="55">
        <v>11919</v>
      </c>
      <c r="R50" s="55">
        <v>11947</v>
      </c>
      <c r="S50" s="55">
        <v>11973</v>
      </c>
      <c r="T50" s="55">
        <v>11997</v>
      </c>
      <c r="U50" s="55">
        <v>12023</v>
      </c>
    </row>
    <row r="51" spans="1:21" x14ac:dyDescent="0.3">
      <c r="A51" s="396" t="s">
        <v>242</v>
      </c>
      <c r="B51" s="392"/>
      <c r="C51" s="55">
        <v>1419042</v>
      </c>
      <c r="D51" s="55">
        <v>1420123</v>
      </c>
      <c r="E51" s="55">
        <v>1418661</v>
      </c>
      <c r="F51" s="55">
        <v>1415105</v>
      </c>
      <c r="G51" s="55">
        <v>1409902</v>
      </c>
      <c r="H51" s="55">
        <v>1403567</v>
      </c>
      <c r="I51" s="55">
        <v>1396646</v>
      </c>
      <c r="J51" s="55">
        <v>1389641</v>
      </c>
      <c r="K51" s="55">
        <v>1382938</v>
      </c>
      <c r="L51" s="55">
        <v>1376722</v>
      </c>
      <c r="M51" s="55">
        <v>1370935</v>
      </c>
      <c r="N51" s="55">
        <v>1365561</v>
      </c>
      <c r="O51" s="55">
        <v>1360756</v>
      </c>
      <c r="P51" s="55">
        <v>1356662</v>
      </c>
      <c r="Q51" s="55">
        <v>1353363</v>
      </c>
      <c r="R51" s="55">
        <v>1350804</v>
      </c>
      <c r="S51" s="55">
        <v>1348894</v>
      </c>
      <c r="T51" s="55">
        <v>1347579</v>
      </c>
      <c r="U51" s="55">
        <v>1346833</v>
      </c>
    </row>
    <row r="52" spans="1:21" x14ac:dyDescent="0.3">
      <c r="A52" s="395" t="s">
        <v>296</v>
      </c>
      <c r="B52" s="392"/>
      <c r="C52" s="55">
        <v>56115</v>
      </c>
      <c r="D52" s="55">
        <v>56413</v>
      </c>
      <c r="E52" s="55">
        <v>56577</v>
      </c>
      <c r="F52" s="55">
        <v>56604</v>
      </c>
      <c r="G52" s="55">
        <v>56503</v>
      </c>
      <c r="H52" s="55">
        <v>56305</v>
      </c>
      <c r="I52" s="55">
        <v>56047</v>
      </c>
      <c r="J52" s="55">
        <v>55757</v>
      </c>
      <c r="K52" s="55">
        <v>55466</v>
      </c>
      <c r="L52" s="55">
        <v>55197</v>
      </c>
      <c r="M52" s="55">
        <v>54964</v>
      </c>
      <c r="N52" s="55">
        <v>54778</v>
      </c>
      <c r="O52" s="55">
        <v>54653</v>
      </c>
      <c r="P52" s="55">
        <v>54597</v>
      </c>
      <c r="Q52" s="55">
        <v>54610</v>
      </c>
      <c r="R52" s="55">
        <v>54679</v>
      </c>
      <c r="S52" s="55">
        <v>54788</v>
      </c>
      <c r="T52" s="55">
        <v>54929</v>
      </c>
      <c r="U52" s="55">
        <v>55095</v>
      </c>
    </row>
    <row r="53" spans="1:21" x14ac:dyDescent="0.3">
      <c r="A53" s="395" t="s">
        <v>73</v>
      </c>
      <c r="B53" s="392"/>
      <c r="C53" s="55">
        <v>57733</v>
      </c>
      <c r="D53" s="55">
        <v>57569</v>
      </c>
      <c r="E53" s="55">
        <v>57423</v>
      </c>
      <c r="F53" s="55">
        <v>57266</v>
      </c>
      <c r="G53" s="55">
        <v>57068</v>
      </c>
      <c r="H53" s="55">
        <v>56815</v>
      </c>
      <c r="I53" s="55">
        <v>56498</v>
      </c>
      <c r="J53" s="55">
        <v>56114</v>
      </c>
      <c r="K53" s="55">
        <v>55669</v>
      </c>
      <c r="L53" s="55">
        <v>55176</v>
      </c>
      <c r="M53" s="55">
        <v>54662</v>
      </c>
      <c r="N53" s="55">
        <v>54153</v>
      </c>
      <c r="O53" s="55">
        <v>53665</v>
      </c>
      <c r="P53" s="55">
        <v>53211</v>
      </c>
      <c r="Q53" s="55">
        <v>52799</v>
      </c>
      <c r="R53" s="55">
        <v>52428</v>
      </c>
      <c r="S53" s="55">
        <v>52094</v>
      </c>
      <c r="T53" s="55">
        <v>51799</v>
      </c>
      <c r="U53" s="55">
        <v>51545</v>
      </c>
    </row>
    <row r="54" spans="1:21" x14ac:dyDescent="0.3">
      <c r="A54" s="395" t="s">
        <v>204</v>
      </c>
      <c r="B54" s="392"/>
      <c r="C54" s="55">
        <v>67011</v>
      </c>
      <c r="D54" s="55">
        <v>67978</v>
      </c>
      <c r="E54" s="55">
        <v>68758</v>
      </c>
      <c r="F54" s="55">
        <v>69342</v>
      </c>
      <c r="G54" s="55">
        <v>69741</v>
      </c>
      <c r="H54" s="55">
        <v>69997</v>
      </c>
      <c r="I54" s="55">
        <v>70153</v>
      </c>
      <c r="J54" s="55">
        <v>70238</v>
      </c>
      <c r="K54" s="55">
        <v>70276</v>
      </c>
      <c r="L54" s="55">
        <v>70282</v>
      </c>
      <c r="M54" s="55">
        <v>70270</v>
      </c>
      <c r="N54" s="55">
        <v>70252</v>
      </c>
      <c r="O54" s="55">
        <v>70250</v>
      </c>
      <c r="P54" s="55">
        <v>70281</v>
      </c>
      <c r="Q54" s="55">
        <v>70359</v>
      </c>
      <c r="R54" s="55">
        <v>70482</v>
      </c>
      <c r="S54" s="55">
        <v>70649</v>
      </c>
      <c r="T54" s="55">
        <v>70861</v>
      </c>
      <c r="U54" s="55">
        <v>71119</v>
      </c>
    </row>
    <row r="55" spans="1:21" x14ac:dyDescent="0.3">
      <c r="A55" s="395" t="s">
        <v>53</v>
      </c>
      <c r="B55" s="392"/>
      <c r="C55" s="55">
        <v>1206745</v>
      </c>
      <c r="D55" s="55">
        <v>1207107</v>
      </c>
      <c r="E55" s="55">
        <v>1205147</v>
      </c>
      <c r="F55" s="55">
        <v>1201362</v>
      </c>
      <c r="G55" s="55">
        <v>1196240</v>
      </c>
      <c r="H55" s="55">
        <v>1190279</v>
      </c>
      <c r="I55" s="55">
        <v>1183984</v>
      </c>
      <c r="J55" s="55">
        <v>1177806</v>
      </c>
      <c r="K55" s="55">
        <v>1172060</v>
      </c>
      <c r="L55" s="55">
        <v>1166860</v>
      </c>
      <c r="M55" s="55">
        <v>1162062</v>
      </c>
      <c r="N55" s="55">
        <v>1157580</v>
      </c>
      <c r="O55" s="55">
        <v>1153505</v>
      </c>
      <c r="P55" s="55">
        <v>1149934</v>
      </c>
      <c r="Q55" s="55">
        <v>1146929</v>
      </c>
      <c r="R55" s="55">
        <v>1144461</v>
      </c>
      <c r="S55" s="55">
        <v>1142477</v>
      </c>
      <c r="T55" s="55">
        <v>1140936</v>
      </c>
      <c r="U55" s="55">
        <v>1139824</v>
      </c>
    </row>
    <row r="56" spans="1:21" x14ac:dyDescent="0.3">
      <c r="A56" s="395" t="s">
        <v>872</v>
      </c>
      <c r="B56" s="392"/>
      <c r="C56" s="55">
        <v>31438</v>
      </c>
      <c r="D56" s="55">
        <v>31056</v>
      </c>
      <c r="E56" s="55">
        <v>30756</v>
      </c>
      <c r="F56" s="55">
        <v>30531</v>
      </c>
      <c r="G56" s="55">
        <v>30350</v>
      </c>
      <c r="H56" s="55">
        <v>30171</v>
      </c>
      <c r="I56" s="55">
        <v>29964</v>
      </c>
      <c r="J56" s="55">
        <v>29726</v>
      </c>
      <c r="K56" s="55">
        <v>29467</v>
      </c>
      <c r="L56" s="55">
        <v>29207</v>
      </c>
      <c r="M56" s="55">
        <v>28977</v>
      </c>
      <c r="N56" s="55">
        <v>28798</v>
      </c>
      <c r="O56" s="55">
        <v>28683</v>
      </c>
      <c r="P56" s="55">
        <v>28639</v>
      </c>
      <c r="Q56" s="55">
        <v>28666</v>
      </c>
      <c r="R56" s="55">
        <v>28754</v>
      </c>
      <c r="S56" s="55">
        <v>28886</v>
      </c>
      <c r="T56" s="55">
        <v>29054</v>
      </c>
      <c r="U56" s="55">
        <v>29250</v>
      </c>
    </row>
    <row r="57" spans="1:21" x14ac:dyDescent="0.3">
      <c r="A57" s="396" t="s">
        <v>243</v>
      </c>
      <c r="B57" s="392"/>
      <c r="C57" s="55">
        <v>12944525</v>
      </c>
      <c r="D57" s="55">
        <v>13164343</v>
      </c>
      <c r="E57" s="55">
        <v>13376942</v>
      </c>
      <c r="F57" s="55">
        <v>13583761</v>
      </c>
      <c r="G57" s="55">
        <v>13787150</v>
      </c>
      <c r="H57" s="55">
        <v>13990408</v>
      </c>
      <c r="I57" s="55">
        <v>14196412</v>
      </c>
      <c r="J57" s="55">
        <v>14406866</v>
      </c>
      <c r="K57" s="55">
        <v>14623083</v>
      </c>
      <c r="L57" s="55">
        <v>14845537</v>
      </c>
      <c r="M57" s="55">
        <v>15073080</v>
      </c>
      <c r="N57" s="55">
        <v>15304532</v>
      </c>
      <c r="O57" s="55">
        <v>15539356</v>
      </c>
      <c r="P57" s="55">
        <v>15777053</v>
      </c>
      <c r="Q57" s="55">
        <v>16017129</v>
      </c>
      <c r="R57" s="55">
        <v>16258754</v>
      </c>
      <c r="S57" s="55">
        <v>16500918.000000002</v>
      </c>
      <c r="T57" s="55">
        <v>16742615.000000002</v>
      </c>
      <c r="U57" s="55">
        <v>16983126</v>
      </c>
    </row>
    <row r="58" spans="1:21" x14ac:dyDescent="0.3">
      <c r="A58" s="395" t="s">
        <v>55</v>
      </c>
      <c r="B58" s="392"/>
      <c r="C58" s="55">
        <v>376291</v>
      </c>
      <c r="D58" s="55">
        <v>383160</v>
      </c>
      <c r="E58" s="55">
        <v>389922</v>
      </c>
      <c r="F58" s="55">
        <v>396606</v>
      </c>
      <c r="G58" s="55">
        <v>403257</v>
      </c>
      <c r="H58" s="55">
        <v>409929</v>
      </c>
      <c r="I58" s="55">
        <v>416667</v>
      </c>
      <c r="J58" s="55">
        <v>423498</v>
      </c>
      <c r="K58" s="55">
        <v>430443</v>
      </c>
      <c r="L58" s="55">
        <v>437507</v>
      </c>
      <c r="M58" s="55">
        <v>444666</v>
      </c>
      <c r="N58" s="55">
        <v>451892</v>
      </c>
      <c r="O58" s="55">
        <v>459170</v>
      </c>
      <c r="P58" s="55">
        <v>466484</v>
      </c>
      <c r="Q58" s="55">
        <v>473821</v>
      </c>
      <c r="R58" s="55">
        <v>481165</v>
      </c>
      <c r="S58" s="55">
        <v>488495</v>
      </c>
      <c r="T58" s="55">
        <v>495790</v>
      </c>
      <c r="U58" s="55">
        <v>503033</v>
      </c>
    </row>
    <row r="59" spans="1:21" x14ac:dyDescent="0.3">
      <c r="A59" s="395" t="s">
        <v>31</v>
      </c>
      <c r="B59" s="392"/>
      <c r="C59" s="55">
        <v>682734</v>
      </c>
      <c r="D59" s="55">
        <v>693445</v>
      </c>
      <c r="E59" s="55">
        <v>704392</v>
      </c>
      <c r="F59" s="55">
        <v>715615</v>
      </c>
      <c r="G59" s="55">
        <v>727096</v>
      </c>
      <c r="H59" s="55">
        <v>738761</v>
      </c>
      <c r="I59" s="55">
        <v>750557</v>
      </c>
      <c r="J59" s="55">
        <v>762497</v>
      </c>
      <c r="K59" s="55">
        <v>774622</v>
      </c>
      <c r="L59" s="55">
        <v>786989</v>
      </c>
      <c r="M59" s="55">
        <v>799625</v>
      </c>
      <c r="N59" s="55">
        <v>812530</v>
      </c>
      <c r="O59" s="55">
        <v>825672</v>
      </c>
      <c r="P59" s="55">
        <v>839019</v>
      </c>
      <c r="Q59" s="55">
        <v>852524</v>
      </c>
      <c r="R59" s="55">
        <v>866108</v>
      </c>
      <c r="S59" s="55">
        <v>879680</v>
      </c>
      <c r="T59" s="55">
        <v>893162</v>
      </c>
      <c r="U59" s="55">
        <v>906492</v>
      </c>
    </row>
    <row r="60" spans="1:21" x14ac:dyDescent="0.3">
      <c r="A60" s="395" t="s">
        <v>495</v>
      </c>
      <c r="B60" s="392"/>
      <c r="C60" s="55">
        <v>11030</v>
      </c>
      <c r="D60" s="55">
        <v>11003</v>
      </c>
      <c r="E60" s="55">
        <v>10957</v>
      </c>
      <c r="F60" s="55">
        <v>10890</v>
      </c>
      <c r="G60" s="55">
        <v>10803</v>
      </c>
      <c r="H60" s="55">
        <v>10703</v>
      </c>
      <c r="I60" s="55">
        <v>10593</v>
      </c>
      <c r="J60" s="55">
        <v>10478</v>
      </c>
      <c r="K60" s="55">
        <v>10357</v>
      </c>
      <c r="L60" s="55">
        <v>10232</v>
      </c>
      <c r="M60" s="55">
        <v>10101</v>
      </c>
      <c r="N60" s="55">
        <v>9968</v>
      </c>
      <c r="O60" s="55">
        <v>9834</v>
      </c>
      <c r="P60" s="55">
        <v>9702</v>
      </c>
      <c r="Q60" s="55">
        <v>9575</v>
      </c>
      <c r="R60" s="55">
        <v>9454</v>
      </c>
      <c r="S60" s="55">
        <v>9341</v>
      </c>
      <c r="T60" s="55">
        <v>9237</v>
      </c>
      <c r="U60" s="55">
        <v>9142</v>
      </c>
    </row>
    <row r="61" spans="1:21" x14ac:dyDescent="0.3">
      <c r="A61" s="395" t="s">
        <v>63</v>
      </c>
      <c r="B61" s="392"/>
      <c r="C61" s="55">
        <v>799732</v>
      </c>
      <c r="D61" s="55">
        <v>815559</v>
      </c>
      <c r="E61" s="55">
        <v>831851</v>
      </c>
      <c r="F61" s="55">
        <v>848365</v>
      </c>
      <c r="G61" s="55">
        <v>864893</v>
      </c>
      <c r="H61" s="55">
        <v>881313</v>
      </c>
      <c r="I61" s="55">
        <v>897520</v>
      </c>
      <c r="J61" s="55">
        <v>913408</v>
      </c>
      <c r="K61" s="55">
        <v>928937</v>
      </c>
      <c r="L61" s="55">
        <v>944145</v>
      </c>
      <c r="M61" s="55">
        <v>959156</v>
      </c>
      <c r="N61" s="55">
        <v>974064</v>
      </c>
      <c r="O61" s="55">
        <v>988884</v>
      </c>
      <c r="P61" s="55">
        <v>1003599</v>
      </c>
      <c r="Q61" s="55">
        <v>1018174</v>
      </c>
      <c r="R61" s="55">
        <v>1032576</v>
      </c>
      <c r="S61" s="55">
        <v>1046799</v>
      </c>
      <c r="T61" s="55">
        <v>1060862</v>
      </c>
      <c r="U61" s="55">
        <v>1074806</v>
      </c>
    </row>
    <row r="62" spans="1:21" x14ac:dyDescent="0.3">
      <c r="A62" s="395" t="s">
        <v>67</v>
      </c>
      <c r="B62" s="392"/>
      <c r="C62" s="55">
        <v>77439</v>
      </c>
      <c r="D62" s="55">
        <v>79349</v>
      </c>
      <c r="E62" s="55">
        <v>81217</v>
      </c>
      <c r="F62" s="55">
        <v>83026</v>
      </c>
      <c r="G62" s="55">
        <v>84761</v>
      </c>
      <c r="H62" s="55">
        <v>86424</v>
      </c>
      <c r="I62" s="55">
        <v>88013</v>
      </c>
      <c r="J62" s="55">
        <v>89530</v>
      </c>
      <c r="K62" s="55">
        <v>90977</v>
      </c>
      <c r="L62" s="55">
        <v>92362</v>
      </c>
      <c r="M62" s="55">
        <v>93698</v>
      </c>
      <c r="N62" s="55">
        <v>94996</v>
      </c>
      <c r="O62" s="55">
        <v>96260</v>
      </c>
      <c r="P62" s="55">
        <v>97493</v>
      </c>
      <c r="Q62" s="55">
        <v>98693</v>
      </c>
      <c r="R62" s="55">
        <v>99857</v>
      </c>
      <c r="S62" s="55">
        <v>100983</v>
      </c>
      <c r="T62" s="55">
        <v>102074</v>
      </c>
      <c r="U62" s="55">
        <v>103134</v>
      </c>
    </row>
    <row r="63" spans="1:21" x14ac:dyDescent="0.3">
      <c r="A63" s="395" t="s">
        <v>33</v>
      </c>
      <c r="B63" s="392"/>
      <c r="C63" s="55">
        <v>827996</v>
      </c>
      <c r="D63" s="55">
        <v>838619</v>
      </c>
      <c r="E63" s="55">
        <v>847877</v>
      </c>
      <c r="F63" s="55">
        <v>855880</v>
      </c>
      <c r="G63" s="55">
        <v>862915</v>
      </c>
      <c r="H63" s="55">
        <v>869458</v>
      </c>
      <c r="I63" s="55">
        <v>875916</v>
      </c>
      <c r="J63" s="55">
        <v>882491</v>
      </c>
      <c r="K63" s="55">
        <v>889291</v>
      </c>
      <c r="L63" s="55">
        <v>896308</v>
      </c>
      <c r="M63" s="55">
        <v>903398</v>
      </c>
      <c r="N63" s="55">
        <v>910462</v>
      </c>
      <c r="O63" s="55">
        <v>917515</v>
      </c>
      <c r="P63" s="55">
        <v>924583</v>
      </c>
      <c r="Q63" s="55">
        <v>931701</v>
      </c>
      <c r="R63" s="55">
        <v>938895</v>
      </c>
      <c r="S63" s="55">
        <v>946185</v>
      </c>
      <c r="T63" s="55">
        <v>953577</v>
      </c>
      <c r="U63" s="55">
        <v>961079</v>
      </c>
    </row>
    <row r="64" spans="1:21" x14ac:dyDescent="0.3">
      <c r="A64" s="395" t="s">
        <v>68</v>
      </c>
      <c r="B64" s="392"/>
      <c r="C64" s="55">
        <v>415022</v>
      </c>
      <c r="D64" s="55">
        <v>420481</v>
      </c>
      <c r="E64" s="55">
        <v>426246</v>
      </c>
      <c r="F64" s="55">
        <v>432354</v>
      </c>
      <c r="G64" s="55">
        <v>438835</v>
      </c>
      <c r="H64" s="55">
        <v>445661</v>
      </c>
      <c r="I64" s="55">
        <v>452770</v>
      </c>
      <c r="J64" s="55">
        <v>460091</v>
      </c>
      <c r="K64" s="55">
        <v>467541</v>
      </c>
      <c r="L64" s="55">
        <v>475035</v>
      </c>
      <c r="M64" s="55">
        <v>482488</v>
      </c>
      <c r="N64" s="55">
        <v>489814</v>
      </c>
      <c r="O64" s="55">
        <v>496942</v>
      </c>
      <c r="P64" s="55">
        <v>503814</v>
      </c>
      <c r="Q64" s="55">
        <v>510408</v>
      </c>
      <c r="R64" s="55">
        <v>516751.99999999994</v>
      </c>
      <c r="S64" s="55">
        <v>522874</v>
      </c>
      <c r="T64" s="55">
        <v>528777</v>
      </c>
      <c r="U64" s="55">
        <v>534463</v>
      </c>
    </row>
    <row r="65" spans="1:21" x14ac:dyDescent="0.3">
      <c r="A65" s="395" t="s">
        <v>69</v>
      </c>
      <c r="B65" s="392"/>
      <c r="C65" s="55">
        <v>61614</v>
      </c>
      <c r="D65" s="55">
        <v>62476</v>
      </c>
      <c r="E65" s="55">
        <v>63273</v>
      </c>
      <c r="F65" s="55">
        <v>64004.000000000007</v>
      </c>
      <c r="G65" s="55">
        <v>64670</v>
      </c>
      <c r="H65" s="55">
        <v>65287.000000000007</v>
      </c>
      <c r="I65" s="55">
        <v>65870</v>
      </c>
      <c r="J65" s="55">
        <v>66429</v>
      </c>
      <c r="K65" s="55">
        <v>66974</v>
      </c>
      <c r="L65" s="55">
        <v>67513</v>
      </c>
      <c r="M65" s="55">
        <v>68049</v>
      </c>
      <c r="N65" s="55">
        <v>68589</v>
      </c>
      <c r="O65" s="55">
        <v>69137</v>
      </c>
      <c r="P65" s="55">
        <v>69701</v>
      </c>
      <c r="Q65" s="55">
        <v>70284</v>
      </c>
      <c r="R65" s="55">
        <v>70882</v>
      </c>
      <c r="S65" s="55">
        <v>71492</v>
      </c>
      <c r="T65" s="55">
        <v>72114</v>
      </c>
      <c r="U65" s="55">
        <v>72743</v>
      </c>
    </row>
    <row r="66" spans="1:21" x14ac:dyDescent="0.3">
      <c r="A66" s="395" t="s">
        <v>74</v>
      </c>
      <c r="B66" s="392"/>
      <c r="C66" s="55">
        <v>147562</v>
      </c>
      <c r="D66" s="55">
        <v>149632</v>
      </c>
      <c r="E66" s="55">
        <v>151620</v>
      </c>
      <c r="F66" s="55">
        <v>153560</v>
      </c>
      <c r="G66" s="55">
        <v>155499</v>
      </c>
      <c r="H66" s="55">
        <v>157488</v>
      </c>
      <c r="I66" s="55">
        <v>159560</v>
      </c>
      <c r="J66" s="55">
        <v>161726</v>
      </c>
      <c r="K66" s="55">
        <v>163984</v>
      </c>
      <c r="L66" s="55">
        <v>166316</v>
      </c>
      <c r="M66" s="55">
        <v>168680</v>
      </c>
      <c r="N66" s="55">
        <v>171037</v>
      </c>
      <c r="O66" s="55">
        <v>173367</v>
      </c>
      <c r="P66" s="55">
        <v>175653</v>
      </c>
      <c r="Q66" s="55">
        <v>177884</v>
      </c>
      <c r="R66" s="55">
        <v>180065</v>
      </c>
      <c r="S66" s="55">
        <v>182196</v>
      </c>
      <c r="T66" s="55">
        <v>184271</v>
      </c>
      <c r="U66" s="55">
        <v>186288</v>
      </c>
    </row>
    <row r="67" spans="1:21" x14ac:dyDescent="0.3">
      <c r="A67" s="395" t="s">
        <v>76</v>
      </c>
      <c r="B67" s="392"/>
      <c r="C67" s="55">
        <v>721365</v>
      </c>
      <c r="D67" s="55">
        <v>732962</v>
      </c>
      <c r="E67" s="55">
        <v>744568</v>
      </c>
      <c r="F67" s="55">
        <v>756411</v>
      </c>
      <c r="G67" s="55">
        <v>768669</v>
      </c>
      <c r="H67" s="55">
        <v>781404</v>
      </c>
      <c r="I67" s="55">
        <v>794665</v>
      </c>
      <c r="J67" s="55">
        <v>808518</v>
      </c>
      <c r="K67" s="55">
        <v>823027</v>
      </c>
      <c r="L67" s="55">
        <v>838212</v>
      </c>
      <c r="M67" s="55">
        <v>853945</v>
      </c>
      <c r="N67" s="55">
        <v>870067</v>
      </c>
      <c r="O67" s="55">
        <v>886442</v>
      </c>
      <c r="P67" s="55">
        <v>902923</v>
      </c>
      <c r="Q67" s="55">
        <v>919372</v>
      </c>
      <c r="R67" s="55">
        <v>935673</v>
      </c>
      <c r="S67" s="55">
        <v>951710</v>
      </c>
      <c r="T67" s="55">
        <v>967373</v>
      </c>
      <c r="U67" s="55">
        <v>982617</v>
      </c>
    </row>
    <row r="68" spans="1:21" x14ac:dyDescent="0.3">
      <c r="A68" s="395" t="s">
        <v>77</v>
      </c>
      <c r="B68" s="392"/>
      <c r="C68" s="55">
        <v>133888</v>
      </c>
      <c r="D68" s="55">
        <v>136652</v>
      </c>
      <c r="E68" s="55">
        <v>139262</v>
      </c>
      <c r="F68" s="55">
        <v>141718</v>
      </c>
      <c r="G68" s="55">
        <v>144043</v>
      </c>
      <c r="H68" s="55">
        <v>146286</v>
      </c>
      <c r="I68" s="55">
        <v>148491</v>
      </c>
      <c r="J68" s="55">
        <v>150679</v>
      </c>
      <c r="K68" s="55">
        <v>152868</v>
      </c>
      <c r="L68" s="55">
        <v>155063</v>
      </c>
      <c r="M68" s="55">
        <v>157258</v>
      </c>
      <c r="N68" s="55">
        <v>159449</v>
      </c>
      <c r="O68" s="55">
        <v>161645</v>
      </c>
      <c r="P68" s="55">
        <v>163846</v>
      </c>
      <c r="Q68" s="55">
        <v>166054</v>
      </c>
      <c r="R68" s="55">
        <v>168268</v>
      </c>
      <c r="S68" s="55">
        <v>170490</v>
      </c>
      <c r="T68" s="55">
        <v>172725</v>
      </c>
      <c r="U68" s="55">
        <v>174983</v>
      </c>
    </row>
    <row r="69" spans="1:21" x14ac:dyDescent="0.3">
      <c r="A69" s="395" t="s">
        <v>39</v>
      </c>
      <c r="B69" s="392"/>
      <c r="C69" s="55">
        <v>874452</v>
      </c>
      <c r="D69" s="55">
        <v>900239</v>
      </c>
      <c r="E69" s="55">
        <v>926427</v>
      </c>
      <c r="F69" s="55">
        <v>953108</v>
      </c>
      <c r="G69" s="55">
        <v>980417</v>
      </c>
      <c r="H69" s="55">
        <v>1008499</v>
      </c>
      <c r="I69" s="55">
        <v>1037453</v>
      </c>
      <c r="J69" s="55">
        <v>1067314</v>
      </c>
      <c r="K69" s="55">
        <v>1098096</v>
      </c>
      <c r="L69" s="55">
        <v>1129776</v>
      </c>
      <c r="M69" s="55">
        <v>1162238</v>
      </c>
      <c r="N69" s="55">
        <v>1195355</v>
      </c>
      <c r="O69" s="55">
        <v>1229035</v>
      </c>
      <c r="P69" s="55">
        <v>1263220</v>
      </c>
      <c r="Q69" s="55">
        <v>1297881</v>
      </c>
      <c r="R69" s="55">
        <v>1332971</v>
      </c>
      <c r="S69" s="55">
        <v>1368406</v>
      </c>
      <c r="T69" s="55">
        <v>1404068</v>
      </c>
      <c r="U69" s="55">
        <v>1439850</v>
      </c>
    </row>
    <row r="70" spans="1:21" x14ac:dyDescent="0.3">
      <c r="A70" s="395" t="s">
        <v>40</v>
      </c>
      <c r="B70" s="392"/>
      <c r="C70" s="55">
        <v>6813551</v>
      </c>
      <c r="D70" s="55">
        <v>6927108</v>
      </c>
      <c r="E70" s="55">
        <v>7034656</v>
      </c>
      <c r="F70" s="55">
        <v>7137102</v>
      </c>
      <c r="G70" s="55">
        <v>7236063</v>
      </c>
      <c r="H70" s="55">
        <v>7333978</v>
      </c>
      <c r="I70" s="55">
        <v>7433032</v>
      </c>
      <c r="J70" s="55">
        <v>7534528</v>
      </c>
      <c r="K70" s="55">
        <v>7639486</v>
      </c>
      <c r="L70" s="55">
        <v>7748319</v>
      </c>
      <c r="M70" s="55">
        <v>7860344</v>
      </c>
      <c r="N70" s="55">
        <v>7974878</v>
      </c>
      <c r="O70" s="55">
        <v>8091701</v>
      </c>
      <c r="P70" s="55">
        <v>8210614</v>
      </c>
      <c r="Q70" s="55">
        <v>8331378.0000000009</v>
      </c>
      <c r="R70" s="55">
        <v>8453447</v>
      </c>
      <c r="S70" s="55">
        <v>8576149</v>
      </c>
      <c r="T70" s="55">
        <v>8698838</v>
      </c>
      <c r="U70" s="55">
        <v>8821010</v>
      </c>
    </row>
    <row r="71" spans="1:21" x14ac:dyDescent="0.3">
      <c r="A71" s="395" t="s">
        <v>44</v>
      </c>
      <c r="B71" s="392"/>
      <c r="C71" s="55">
        <v>507371</v>
      </c>
      <c r="D71" s="55">
        <v>515938</v>
      </c>
      <c r="E71" s="55">
        <v>523522.00000000006</v>
      </c>
      <c r="F71" s="55">
        <v>530235</v>
      </c>
      <c r="G71" s="55">
        <v>536297</v>
      </c>
      <c r="H71" s="55">
        <v>542054</v>
      </c>
      <c r="I71" s="55">
        <v>547821</v>
      </c>
      <c r="J71" s="55">
        <v>553786</v>
      </c>
      <c r="K71" s="55">
        <v>560077</v>
      </c>
      <c r="L71" s="55">
        <v>566729</v>
      </c>
      <c r="M71" s="55">
        <v>573659</v>
      </c>
      <c r="N71" s="55">
        <v>580812</v>
      </c>
      <c r="O71" s="55">
        <v>588211</v>
      </c>
      <c r="P71" s="55">
        <v>595884</v>
      </c>
      <c r="Q71" s="55">
        <v>603852</v>
      </c>
      <c r="R71" s="55">
        <v>612103</v>
      </c>
      <c r="S71" s="55">
        <v>620613</v>
      </c>
      <c r="T71" s="55">
        <v>629358</v>
      </c>
      <c r="U71" s="55">
        <v>638333</v>
      </c>
    </row>
    <row r="72" spans="1:21" x14ac:dyDescent="0.3">
      <c r="A72" s="395" t="s">
        <v>45</v>
      </c>
      <c r="B72" s="392"/>
      <c r="C72" s="55">
        <v>249516</v>
      </c>
      <c r="D72" s="55">
        <v>250098</v>
      </c>
      <c r="E72" s="55">
        <v>250895</v>
      </c>
      <c r="F72" s="55">
        <v>251958</v>
      </c>
      <c r="G72" s="55">
        <v>253245</v>
      </c>
      <c r="H72" s="55">
        <v>254605</v>
      </c>
      <c r="I72" s="55">
        <v>255915</v>
      </c>
      <c r="J72" s="55">
        <v>257146.00000000003</v>
      </c>
      <c r="K72" s="55">
        <v>258281</v>
      </c>
      <c r="L72" s="55">
        <v>259319.00000000003</v>
      </c>
      <c r="M72" s="55">
        <v>260286</v>
      </c>
      <c r="N72" s="55">
        <v>261202.99999999997</v>
      </c>
      <c r="O72" s="55">
        <v>262075</v>
      </c>
      <c r="P72" s="55">
        <v>262910</v>
      </c>
      <c r="Q72" s="55">
        <v>263715</v>
      </c>
      <c r="R72" s="55">
        <v>264493</v>
      </c>
      <c r="S72" s="55">
        <v>265242</v>
      </c>
      <c r="T72" s="55">
        <v>265960</v>
      </c>
      <c r="U72" s="55">
        <v>266638</v>
      </c>
    </row>
    <row r="73" spans="1:21" x14ac:dyDescent="0.3">
      <c r="A73" s="395" t="s">
        <v>90</v>
      </c>
      <c r="B73" s="392"/>
      <c r="C73" s="55">
        <v>244909</v>
      </c>
      <c r="D73" s="55">
        <v>247568</v>
      </c>
      <c r="E73" s="55">
        <v>250202</v>
      </c>
      <c r="F73" s="55">
        <v>252873</v>
      </c>
      <c r="G73" s="55">
        <v>255630</v>
      </c>
      <c r="H73" s="55">
        <v>258500</v>
      </c>
      <c r="I73" s="55">
        <v>261509</v>
      </c>
      <c r="J73" s="55">
        <v>264686</v>
      </c>
      <c r="K73" s="55">
        <v>268061</v>
      </c>
      <c r="L73" s="55">
        <v>271650</v>
      </c>
      <c r="M73" s="55">
        <v>275426</v>
      </c>
      <c r="N73" s="55">
        <v>279353</v>
      </c>
      <c r="O73" s="55">
        <v>283403</v>
      </c>
      <c r="P73" s="55">
        <v>287545</v>
      </c>
      <c r="Q73" s="55">
        <v>291750</v>
      </c>
      <c r="R73" s="55">
        <v>295982</v>
      </c>
      <c r="S73" s="55">
        <v>300200</v>
      </c>
      <c r="T73" s="55">
        <v>304367</v>
      </c>
      <c r="U73" s="55">
        <v>308453</v>
      </c>
    </row>
    <row r="74" spans="1:21" x14ac:dyDescent="0.3">
      <c r="A74" s="393" t="s">
        <v>297</v>
      </c>
      <c r="B74" s="392"/>
      <c r="C74" s="55">
        <v>76133107</v>
      </c>
      <c r="D74" s="55">
        <v>75885265</v>
      </c>
      <c r="E74" s="55">
        <v>75627611</v>
      </c>
      <c r="F74" s="55">
        <v>75349982</v>
      </c>
      <c r="G74" s="55">
        <v>75036507</v>
      </c>
      <c r="H74" s="55">
        <v>74674190</v>
      </c>
      <c r="I74" s="55">
        <v>74257348</v>
      </c>
      <c r="J74" s="55">
        <v>73789469</v>
      </c>
      <c r="K74" s="55">
        <v>73279366</v>
      </c>
      <c r="L74" s="55">
        <v>72740533</v>
      </c>
      <c r="M74" s="55">
        <v>72191770</v>
      </c>
      <c r="N74" s="55">
        <v>71650136</v>
      </c>
      <c r="O74" s="55">
        <v>71126473</v>
      </c>
      <c r="P74" s="55">
        <v>70628993</v>
      </c>
      <c r="Q74" s="55">
        <v>70160764</v>
      </c>
      <c r="R74" s="55">
        <v>69716187</v>
      </c>
      <c r="S74" s="55">
        <v>69290001</v>
      </c>
      <c r="T74" s="55">
        <v>68881021</v>
      </c>
      <c r="U74" s="55">
        <v>68486825</v>
      </c>
    </row>
    <row r="75" spans="1:21" x14ac:dyDescent="0.3">
      <c r="A75" s="396" t="s">
        <v>298</v>
      </c>
      <c r="B75" s="392"/>
      <c r="C75" s="55">
        <v>19834508</v>
      </c>
      <c r="D75" s="55">
        <v>19810071</v>
      </c>
      <c r="E75" s="55">
        <v>19734336</v>
      </c>
      <c r="F75" s="55">
        <v>19599966</v>
      </c>
      <c r="G75" s="55">
        <v>19403817</v>
      </c>
      <c r="H75" s="55">
        <v>19155675</v>
      </c>
      <c r="I75" s="55">
        <v>18868319</v>
      </c>
      <c r="J75" s="55">
        <v>18552339</v>
      </c>
      <c r="K75" s="55">
        <v>18219912</v>
      </c>
      <c r="L75" s="55">
        <v>17882970</v>
      </c>
      <c r="M75" s="55">
        <v>17552350</v>
      </c>
      <c r="N75" s="55">
        <v>17238525</v>
      </c>
      <c r="O75" s="55">
        <v>16950567</v>
      </c>
      <c r="P75" s="55">
        <v>16695617.999999998</v>
      </c>
      <c r="Q75" s="55">
        <v>16476521</v>
      </c>
      <c r="R75" s="55">
        <v>16288224</v>
      </c>
      <c r="S75" s="55">
        <v>16125583</v>
      </c>
      <c r="T75" s="55">
        <v>15986699</v>
      </c>
      <c r="U75" s="55">
        <v>15869093</v>
      </c>
    </row>
    <row r="76" spans="1:21" x14ac:dyDescent="0.3">
      <c r="A76" s="395" t="s">
        <v>299</v>
      </c>
      <c r="B76" s="392"/>
      <c r="C76" s="55">
        <v>17613414</v>
      </c>
      <c r="D76" s="55">
        <v>17606393</v>
      </c>
      <c r="E76" s="55">
        <v>17555088</v>
      </c>
      <c r="F76" s="55">
        <v>17451378</v>
      </c>
      <c r="G76" s="55">
        <v>17290122</v>
      </c>
      <c r="H76" s="55">
        <v>17077816</v>
      </c>
      <c r="I76" s="55">
        <v>16824442</v>
      </c>
      <c r="J76" s="55">
        <v>16539228</v>
      </c>
      <c r="K76" s="55">
        <v>16233446</v>
      </c>
      <c r="L76" s="55">
        <v>15918889</v>
      </c>
      <c r="M76" s="55">
        <v>15607438</v>
      </c>
      <c r="N76" s="55">
        <v>15310506</v>
      </c>
      <c r="O76" s="55">
        <v>15037443</v>
      </c>
      <c r="P76" s="55">
        <v>14795584</v>
      </c>
      <c r="Q76" s="55">
        <v>14587926</v>
      </c>
      <c r="R76" s="55">
        <v>14409723</v>
      </c>
      <c r="S76" s="55">
        <v>14256264</v>
      </c>
      <c r="T76" s="55">
        <v>14126144</v>
      </c>
      <c r="U76" s="55">
        <v>14017525</v>
      </c>
    </row>
    <row r="77" spans="1:21" x14ac:dyDescent="0.3">
      <c r="A77" s="395" t="s">
        <v>300</v>
      </c>
      <c r="B77" s="392"/>
      <c r="C77" s="55">
        <v>72819</v>
      </c>
      <c r="D77" s="55">
        <v>75016</v>
      </c>
      <c r="E77" s="55">
        <v>76974</v>
      </c>
      <c r="F77" s="55">
        <v>78640</v>
      </c>
      <c r="G77" s="55">
        <v>80000</v>
      </c>
      <c r="H77" s="55">
        <v>81088</v>
      </c>
      <c r="I77" s="55">
        <v>81930</v>
      </c>
      <c r="J77" s="55">
        <v>82518</v>
      </c>
      <c r="K77" s="55">
        <v>82839</v>
      </c>
      <c r="L77" s="55">
        <v>82884</v>
      </c>
      <c r="M77" s="55">
        <v>82659</v>
      </c>
      <c r="N77" s="55">
        <v>82177</v>
      </c>
      <c r="O77" s="55">
        <v>81454</v>
      </c>
      <c r="P77" s="55">
        <v>80491</v>
      </c>
      <c r="Q77" s="55">
        <v>79286</v>
      </c>
      <c r="R77" s="55">
        <v>77863</v>
      </c>
      <c r="S77" s="55">
        <v>76260</v>
      </c>
      <c r="T77" s="55">
        <v>74529</v>
      </c>
      <c r="U77" s="55">
        <v>72712</v>
      </c>
    </row>
    <row r="78" spans="1:21" x14ac:dyDescent="0.3">
      <c r="A78" s="395" t="s">
        <v>301</v>
      </c>
      <c r="B78" s="392"/>
      <c r="C78" s="55">
        <v>6162</v>
      </c>
      <c r="D78" s="55">
        <v>6433</v>
      </c>
      <c r="E78" s="55">
        <v>6643</v>
      </c>
      <c r="F78" s="55">
        <v>6792</v>
      </c>
      <c r="G78" s="55">
        <v>6885</v>
      </c>
      <c r="H78" s="55">
        <v>6939</v>
      </c>
      <c r="I78" s="55">
        <v>6967</v>
      </c>
      <c r="J78" s="55">
        <v>6975</v>
      </c>
      <c r="K78" s="55">
        <v>6961</v>
      </c>
      <c r="L78" s="55">
        <v>6923</v>
      </c>
      <c r="M78" s="55">
        <v>6856</v>
      </c>
      <c r="N78" s="55">
        <v>6760</v>
      </c>
      <c r="O78" s="55">
        <v>6642</v>
      </c>
      <c r="P78" s="55">
        <v>6506</v>
      </c>
      <c r="Q78" s="55">
        <v>6359</v>
      </c>
      <c r="R78" s="55">
        <v>6208</v>
      </c>
      <c r="S78" s="55">
        <v>6064</v>
      </c>
      <c r="T78" s="55">
        <v>5933</v>
      </c>
      <c r="U78" s="55">
        <v>5825</v>
      </c>
    </row>
    <row r="79" spans="1:21" x14ac:dyDescent="0.3">
      <c r="A79" s="395" t="s">
        <v>115</v>
      </c>
      <c r="B79" s="392"/>
      <c r="C79" s="55">
        <v>344946</v>
      </c>
      <c r="D79" s="55">
        <v>346450</v>
      </c>
      <c r="E79" s="55">
        <v>348363</v>
      </c>
      <c r="F79" s="55">
        <v>350363</v>
      </c>
      <c r="G79" s="55">
        <v>352192</v>
      </c>
      <c r="H79" s="55">
        <v>353714</v>
      </c>
      <c r="I79" s="55">
        <v>354803</v>
      </c>
      <c r="J79" s="55">
        <v>355317</v>
      </c>
      <c r="K79" s="55">
        <v>355194</v>
      </c>
      <c r="L79" s="55">
        <v>354469</v>
      </c>
      <c r="M79" s="55">
        <v>353288</v>
      </c>
      <c r="N79" s="55">
        <v>351761</v>
      </c>
      <c r="O79" s="55">
        <v>349900</v>
      </c>
      <c r="P79" s="55">
        <v>347665</v>
      </c>
      <c r="Q79" s="55">
        <v>344991</v>
      </c>
      <c r="R79" s="55">
        <v>341848</v>
      </c>
      <c r="S79" s="55">
        <v>338252</v>
      </c>
      <c r="T79" s="55">
        <v>334268</v>
      </c>
      <c r="U79" s="55">
        <v>329956</v>
      </c>
    </row>
    <row r="80" spans="1:21" x14ac:dyDescent="0.3">
      <c r="A80" s="395" t="s">
        <v>302</v>
      </c>
      <c r="B80" s="392"/>
      <c r="C80" s="55">
        <v>1079846</v>
      </c>
      <c r="D80" s="55">
        <v>1062439</v>
      </c>
      <c r="E80" s="55">
        <v>1041644</v>
      </c>
      <c r="F80" s="55">
        <v>1018325</v>
      </c>
      <c r="G80" s="55">
        <v>993715</v>
      </c>
      <c r="H80" s="55">
        <v>969360</v>
      </c>
      <c r="I80" s="55">
        <v>946610</v>
      </c>
      <c r="J80" s="55">
        <v>926285</v>
      </c>
      <c r="K80" s="55">
        <v>908919</v>
      </c>
      <c r="L80" s="55">
        <v>894582</v>
      </c>
      <c r="M80" s="55">
        <v>882641</v>
      </c>
      <c r="N80" s="55">
        <v>872533</v>
      </c>
      <c r="O80" s="55">
        <v>864099</v>
      </c>
      <c r="P80" s="55">
        <v>857228</v>
      </c>
      <c r="Q80" s="55">
        <v>851829</v>
      </c>
      <c r="R80" s="55">
        <v>847741</v>
      </c>
      <c r="S80" s="55">
        <v>844735</v>
      </c>
      <c r="T80" s="55">
        <v>842547</v>
      </c>
      <c r="U80" s="55">
        <v>840950</v>
      </c>
    </row>
    <row r="81" spans="1:21" x14ac:dyDescent="0.3">
      <c r="A81" s="395" t="s">
        <v>78</v>
      </c>
      <c r="B81" s="392"/>
      <c r="C81" s="55">
        <v>73097</v>
      </c>
      <c r="D81" s="55">
        <v>75146</v>
      </c>
      <c r="E81" s="55">
        <v>76600</v>
      </c>
      <c r="F81" s="55">
        <v>77396</v>
      </c>
      <c r="G81" s="55">
        <v>77522</v>
      </c>
      <c r="H81" s="55">
        <v>77097</v>
      </c>
      <c r="I81" s="55">
        <v>76259</v>
      </c>
      <c r="J81" s="55">
        <v>75108</v>
      </c>
      <c r="K81" s="55">
        <v>73755</v>
      </c>
      <c r="L81" s="55">
        <v>72296</v>
      </c>
      <c r="M81" s="55">
        <v>70817</v>
      </c>
      <c r="N81" s="55">
        <v>69405</v>
      </c>
      <c r="O81" s="55">
        <v>68142</v>
      </c>
      <c r="P81" s="55">
        <v>67093</v>
      </c>
      <c r="Q81" s="55">
        <v>66283</v>
      </c>
      <c r="R81" s="55">
        <v>65677</v>
      </c>
      <c r="S81" s="55">
        <v>65245.999999999993</v>
      </c>
      <c r="T81" s="55">
        <v>64989.999999999993</v>
      </c>
      <c r="U81" s="55">
        <v>64909.000000000007</v>
      </c>
    </row>
    <row r="82" spans="1:21" x14ac:dyDescent="0.3">
      <c r="A82" s="395" t="s">
        <v>303</v>
      </c>
      <c r="B82" s="392"/>
      <c r="C82" s="55">
        <v>446316</v>
      </c>
      <c r="D82" s="55">
        <v>438504</v>
      </c>
      <c r="E82" s="55">
        <v>428194</v>
      </c>
      <c r="F82" s="55">
        <v>415862</v>
      </c>
      <c r="G82" s="55">
        <v>402413</v>
      </c>
      <c r="H82" s="55">
        <v>389140</v>
      </c>
      <c r="I82" s="55">
        <v>377124</v>
      </c>
      <c r="J82" s="55">
        <v>366900</v>
      </c>
      <c r="K82" s="55">
        <v>358793</v>
      </c>
      <c r="L82" s="55">
        <v>352792</v>
      </c>
      <c r="M82" s="55">
        <v>348370</v>
      </c>
      <c r="N82" s="55">
        <v>345050</v>
      </c>
      <c r="O82" s="55">
        <v>342655</v>
      </c>
      <c r="P82" s="55">
        <v>341115</v>
      </c>
      <c r="Q82" s="55">
        <v>340424</v>
      </c>
      <c r="R82" s="55">
        <v>340473</v>
      </c>
      <c r="S82" s="55">
        <v>341035</v>
      </c>
      <c r="T82" s="55">
        <v>341789</v>
      </c>
      <c r="U82" s="55">
        <v>342274</v>
      </c>
    </row>
    <row r="83" spans="1:21" x14ac:dyDescent="0.3">
      <c r="A83" s="395" t="s">
        <v>304</v>
      </c>
      <c r="B83" s="392"/>
      <c r="C83" s="55" t="e">
        <v>#N/A</v>
      </c>
      <c r="D83" s="55" t="e">
        <v>#N/A</v>
      </c>
      <c r="E83" s="55" t="e">
        <v>#N/A</v>
      </c>
      <c r="F83" s="55" t="e">
        <v>#N/A</v>
      </c>
      <c r="G83" s="55" t="e">
        <v>#N/A</v>
      </c>
      <c r="H83" s="55" t="e">
        <v>#N/A</v>
      </c>
      <c r="I83" s="55" t="e">
        <v>#N/A</v>
      </c>
      <c r="J83" s="55" t="e">
        <v>#N/A</v>
      </c>
      <c r="K83" s="55" t="e">
        <v>#N/A</v>
      </c>
      <c r="L83" s="55" t="e">
        <v>#N/A</v>
      </c>
      <c r="M83" s="55" t="e">
        <v>#N/A</v>
      </c>
      <c r="N83" s="55" t="e">
        <v>#N/A</v>
      </c>
      <c r="O83" s="55" t="e">
        <v>#N/A</v>
      </c>
      <c r="P83" s="55" t="e">
        <v>#N/A</v>
      </c>
      <c r="Q83" s="55" t="e">
        <v>#N/A</v>
      </c>
      <c r="R83" s="55" t="e">
        <v>#N/A</v>
      </c>
      <c r="S83" s="55" t="e">
        <v>#N/A</v>
      </c>
      <c r="T83" s="55" t="e">
        <v>#N/A</v>
      </c>
      <c r="U83" s="55" t="e">
        <v>#N/A</v>
      </c>
    </row>
    <row r="84" spans="1:21" x14ac:dyDescent="0.3">
      <c r="A84" s="396" t="s">
        <v>875</v>
      </c>
      <c r="B84" s="392"/>
      <c r="C84" s="55">
        <v>38987242</v>
      </c>
      <c r="D84" s="55">
        <v>38769326</v>
      </c>
      <c r="E84" s="55">
        <v>38620367</v>
      </c>
      <c r="F84" s="55">
        <v>38533886</v>
      </c>
      <c r="G84" s="55">
        <v>38490865</v>
      </c>
      <c r="H84" s="55">
        <v>38459602</v>
      </c>
      <c r="I84" s="55">
        <v>38413887</v>
      </c>
      <c r="J84" s="55">
        <v>38342265</v>
      </c>
      <c r="K84" s="55">
        <v>38238679</v>
      </c>
      <c r="L84" s="55">
        <v>38104426</v>
      </c>
      <c r="M84" s="55">
        <v>37950618</v>
      </c>
      <c r="N84" s="55">
        <v>37786426</v>
      </c>
      <c r="O84" s="55">
        <v>37613995</v>
      </c>
      <c r="P84" s="55">
        <v>37435251</v>
      </c>
      <c r="Q84" s="55">
        <v>37251389</v>
      </c>
      <c r="R84" s="55">
        <v>37062194</v>
      </c>
      <c r="S84" s="55">
        <v>36867406</v>
      </c>
      <c r="T84" s="55">
        <v>36667226</v>
      </c>
      <c r="U84" s="55">
        <v>36460665</v>
      </c>
    </row>
    <row r="85" spans="1:21" x14ac:dyDescent="0.3">
      <c r="A85" s="396" t="s">
        <v>305</v>
      </c>
      <c r="B85" s="392"/>
      <c r="C85" s="55">
        <v>1610497</v>
      </c>
      <c r="D85" s="55">
        <v>1638773</v>
      </c>
      <c r="E85" s="55">
        <v>1659745</v>
      </c>
      <c r="F85" s="55">
        <v>1672044</v>
      </c>
      <c r="G85" s="55">
        <v>1674623</v>
      </c>
      <c r="H85" s="55">
        <v>1668168</v>
      </c>
      <c r="I85" s="55">
        <v>1654010</v>
      </c>
      <c r="J85" s="55">
        <v>1633548</v>
      </c>
      <c r="K85" s="55">
        <v>1608434</v>
      </c>
      <c r="L85" s="55">
        <v>1580425</v>
      </c>
      <c r="M85" s="55">
        <v>1551617</v>
      </c>
      <c r="N85" s="55">
        <v>1524165</v>
      </c>
      <c r="O85" s="55">
        <v>1499920</v>
      </c>
      <c r="P85" s="55">
        <v>1480572</v>
      </c>
      <c r="Q85" s="55">
        <v>1467141</v>
      </c>
      <c r="R85" s="55">
        <v>1459250</v>
      </c>
      <c r="S85" s="55">
        <v>1456413</v>
      </c>
      <c r="T85" s="55">
        <v>1458545</v>
      </c>
      <c r="U85" s="55">
        <v>1465567</v>
      </c>
    </row>
    <row r="86" spans="1:21" x14ac:dyDescent="0.3">
      <c r="A86" s="395" t="s">
        <v>196</v>
      </c>
      <c r="B86" s="392"/>
      <c r="C86" s="55">
        <v>382491</v>
      </c>
      <c r="D86" s="55">
        <v>387237</v>
      </c>
      <c r="E86" s="55">
        <v>390580</v>
      </c>
      <c r="F86" s="55">
        <v>392197</v>
      </c>
      <c r="G86" s="55">
        <v>391631</v>
      </c>
      <c r="H86" s="55">
        <v>388704</v>
      </c>
      <c r="I86" s="55">
        <v>383529</v>
      </c>
      <c r="J86" s="55">
        <v>376484</v>
      </c>
      <c r="K86" s="55">
        <v>368121</v>
      </c>
      <c r="L86" s="55">
        <v>359091</v>
      </c>
      <c r="M86" s="55">
        <v>350148</v>
      </c>
      <c r="N86" s="55">
        <v>341990</v>
      </c>
      <c r="O86" s="55">
        <v>335131</v>
      </c>
      <c r="P86" s="55">
        <v>329972</v>
      </c>
      <c r="Q86" s="55">
        <v>326673</v>
      </c>
      <c r="R86" s="55">
        <v>324961</v>
      </c>
      <c r="S86" s="55">
        <v>324565</v>
      </c>
      <c r="T86" s="55">
        <v>325397</v>
      </c>
      <c r="U86" s="55">
        <v>327392</v>
      </c>
    </row>
    <row r="87" spans="1:21" x14ac:dyDescent="0.3">
      <c r="A87" s="395" t="s">
        <v>796</v>
      </c>
      <c r="B87" s="392"/>
      <c r="C87" s="55">
        <v>157930</v>
      </c>
      <c r="D87" s="55">
        <v>161274</v>
      </c>
      <c r="E87" s="55">
        <v>162696</v>
      </c>
      <c r="F87" s="55">
        <v>162326</v>
      </c>
      <c r="G87" s="55">
        <v>160541</v>
      </c>
      <c r="H87" s="55">
        <v>158009</v>
      </c>
      <c r="I87" s="55">
        <v>155317</v>
      </c>
      <c r="J87" s="55">
        <v>152769</v>
      </c>
      <c r="K87" s="55">
        <v>150543</v>
      </c>
      <c r="L87" s="55">
        <v>148652</v>
      </c>
      <c r="M87" s="55">
        <v>146939</v>
      </c>
      <c r="N87" s="55">
        <v>145312</v>
      </c>
      <c r="O87" s="55">
        <v>143836</v>
      </c>
      <c r="P87" s="55">
        <v>142602</v>
      </c>
      <c r="Q87" s="55">
        <v>141698</v>
      </c>
      <c r="R87" s="55">
        <v>141170</v>
      </c>
      <c r="S87" s="55">
        <v>141038</v>
      </c>
      <c r="T87" s="55">
        <v>141307</v>
      </c>
      <c r="U87" s="55">
        <v>141977</v>
      </c>
    </row>
    <row r="88" spans="1:21" x14ac:dyDescent="0.3">
      <c r="A88" s="395" t="s">
        <v>88</v>
      </c>
      <c r="B88" s="392"/>
      <c r="C88" s="55">
        <v>253886</v>
      </c>
      <c r="D88" s="55">
        <v>260843.00000000003</v>
      </c>
      <c r="E88" s="55">
        <v>267145</v>
      </c>
      <c r="F88" s="55">
        <v>272411</v>
      </c>
      <c r="G88" s="55">
        <v>276278</v>
      </c>
      <c r="H88" s="55">
        <v>278668</v>
      </c>
      <c r="I88" s="55">
        <v>279638</v>
      </c>
      <c r="J88" s="55">
        <v>279320</v>
      </c>
      <c r="K88" s="55">
        <v>277919</v>
      </c>
      <c r="L88" s="55">
        <v>275718</v>
      </c>
      <c r="M88" s="55">
        <v>273179</v>
      </c>
      <c r="N88" s="55">
        <v>270781</v>
      </c>
      <c r="O88" s="55">
        <v>268902</v>
      </c>
      <c r="P88" s="55">
        <v>267920</v>
      </c>
      <c r="Q88" s="55">
        <v>268107</v>
      </c>
      <c r="R88" s="55">
        <v>269454</v>
      </c>
      <c r="S88" s="55">
        <v>271909</v>
      </c>
      <c r="T88" s="55">
        <v>275464</v>
      </c>
      <c r="U88" s="55">
        <v>280109</v>
      </c>
    </row>
    <row r="89" spans="1:21" x14ac:dyDescent="0.3">
      <c r="A89" s="395" t="s">
        <v>215</v>
      </c>
      <c r="B89" s="392"/>
      <c r="C89" s="55">
        <v>139712</v>
      </c>
      <c r="D89" s="55">
        <v>142709</v>
      </c>
      <c r="E89" s="55">
        <v>144242</v>
      </c>
      <c r="F89" s="55">
        <v>144319</v>
      </c>
      <c r="G89" s="55">
        <v>143159</v>
      </c>
      <c r="H89" s="55">
        <v>141263</v>
      </c>
      <c r="I89" s="55">
        <v>139075</v>
      </c>
      <c r="J89" s="55">
        <v>136816</v>
      </c>
      <c r="K89" s="55">
        <v>134624</v>
      </c>
      <c r="L89" s="55">
        <v>132537</v>
      </c>
      <c r="M89" s="55">
        <v>130490.00000000001</v>
      </c>
      <c r="N89" s="55">
        <v>128467.99999999999</v>
      </c>
      <c r="O89" s="55">
        <v>126548</v>
      </c>
      <c r="P89" s="55">
        <v>124820</v>
      </c>
      <c r="Q89" s="55">
        <v>123356</v>
      </c>
      <c r="R89" s="55">
        <v>122187</v>
      </c>
      <c r="S89" s="55">
        <v>121334</v>
      </c>
      <c r="T89" s="55">
        <v>120820</v>
      </c>
      <c r="U89" s="55">
        <v>120667</v>
      </c>
    </row>
    <row r="90" spans="1:21" x14ac:dyDescent="0.3">
      <c r="A90" s="395" t="s">
        <v>91</v>
      </c>
      <c r="B90" s="392"/>
      <c r="C90" s="55">
        <v>676478</v>
      </c>
      <c r="D90" s="55">
        <v>686710</v>
      </c>
      <c r="E90" s="55">
        <v>695082</v>
      </c>
      <c r="F90" s="55">
        <v>700791</v>
      </c>
      <c r="G90" s="55">
        <v>703014</v>
      </c>
      <c r="H90" s="55">
        <v>701524</v>
      </c>
      <c r="I90" s="55">
        <v>696451</v>
      </c>
      <c r="J90" s="55">
        <v>688159</v>
      </c>
      <c r="K90" s="55">
        <v>677227</v>
      </c>
      <c r="L90" s="55">
        <v>664427</v>
      </c>
      <c r="M90" s="55">
        <v>650861</v>
      </c>
      <c r="N90" s="55">
        <v>637614</v>
      </c>
      <c r="O90" s="55">
        <v>625503</v>
      </c>
      <c r="P90" s="55">
        <v>615258</v>
      </c>
      <c r="Q90" s="55">
        <v>607307</v>
      </c>
      <c r="R90" s="55">
        <v>601478</v>
      </c>
      <c r="S90" s="55">
        <v>597567</v>
      </c>
      <c r="T90" s="55">
        <v>595557</v>
      </c>
      <c r="U90" s="55">
        <v>595422</v>
      </c>
    </row>
    <row r="91" spans="1:21" x14ac:dyDescent="0.3">
      <c r="A91" s="396" t="s">
        <v>306</v>
      </c>
      <c r="B91" s="392"/>
      <c r="C91" s="55">
        <v>37376745</v>
      </c>
      <c r="D91" s="55">
        <v>37130553</v>
      </c>
      <c r="E91" s="55">
        <v>36960622</v>
      </c>
      <c r="F91" s="55">
        <v>36861842</v>
      </c>
      <c r="G91" s="55">
        <v>36816242</v>
      </c>
      <c r="H91" s="55">
        <v>36791434</v>
      </c>
      <c r="I91" s="55">
        <v>36759877</v>
      </c>
      <c r="J91" s="55">
        <v>36708717</v>
      </c>
      <c r="K91" s="55">
        <v>36630245</v>
      </c>
      <c r="L91" s="55">
        <v>36524001</v>
      </c>
      <c r="M91" s="55">
        <v>36399001</v>
      </c>
      <c r="N91" s="55">
        <v>36262261</v>
      </c>
      <c r="O91" s="55">
        <v>36114075</v>
      </c>
      <c r="P91" s="55">
        <v>35954679</v>
      </c>
      <c r="Q91" s="55">
        <v>35784248</v>
      </c>
      <c r="R91" s="55">
        <v>35602944</v>
      </c>
      <c r="S91" s="55">
        <v>35410993</v>
      </c>
      <c r="T91" s="55">
        <v>35208681</v>
      </c>
      <c r="U91" s="55">
        <v>34995098</v>
      </c>
    </row>
    <row r="92" spans="1:21" x14ac:dyDescent="0.3">
      <c r="A92" s="395" t="s">
        <v>54</v>
      </c>
      <c r="B92" s="392"/>
      <c r="C92" s="55">
        <v>1182460</v>
      </c>
      <c r="D92" s="55">
        <v>1184943</v>
      </c>
      <c r="E92" s="55">
        <v>1188119</v>
      </c>
      <c r="F92" s="55">
        <v>1192175</v>
      </c>
      <c r="G92" s="55">
        <v>1196996</v>
      </c>
      <c r="H92" s="55">
        <v>1202066</v>
      </c>
      <c r="I92" s="55">
        <v>1206951</v>
      </c>
      <c r="J92" s="55">
        <v>1211509</v>
      </c>
      <c r="K92" s="55">
        <v>1215628</v>
      </c>
      <c r="L92" s="55">
        <v>1219250</v>
      </c>
      <c r="M92" s="55">
        <v>1222404</v>
      </c>
      <c r="N92" s="55">
        <v>1225115</v>
      </c>
      <c r="O92" s="55">
        <v>1227364</v>
      </c>
      <c r="P92" s="55">
        <v>1229155</v>
      </c>
      <c r="Q92" s="55">
        <v>1230513</v>
      </c>
      <c r="R92" s="55">
        <v>1231477</v>
      </c>
      <c r="S92" s="55">
        <v>1232075</v>
      </c>
      <c r="T92" s="55">
        <v>1232308</v>
      </c>
      <c r="U92" s="55">
        <v>1232174</v>
      </c>
    </row>
    <row r="93" spans="1:21" x14ac:dyDescent="0.3">
      <c r="A93" s="395" t="s">
        <v>30</v>
      </c>
      <c r="B93" s="392"/>
      <c r="C93" s="55">
        <v>3062169</v>
      </c>
      <c r="D93" s="55">
        <v>3037699</v>
      </c>
      <c r="E93" s="55">
        <v>3015382</v>
      </c>
      <c r="F93" s="55">
        <v>2994594</v>
      </c>
      <c r="G93" s="55">
        <v>2974725</v>
      </c>
      <c r="H93" s="55">
        <v>2955075</v>
      </c>
      <c r="I93" s="55">
        <v>2934882</v>
      </c>
      <c r="J93" s="55">
        <v>2913430</v>
      </c>
      <c r="K93" s="55">
        <v>2889959</v>
      </c>
      <c r="L93" s="55">
        <v>2863916</v>
      </c>
      <c r="M93" s="55">
        <v>2835379</v>
      </c>
      <c r="N93" s="55">
        <v>2804568</v>
      </c>
      <c r="O93" s="55">
        <v>2771645</v>
      </c>
      <c r="P93" s="55">
        <v>2736918</v>
      </c>
      <c r="Q93" s="55">
        <v>2700840</v>
      </c>
      <c r="R93" s="55">
        <v>2664068</v>
      </c>
      <c r="S93" s="55">
        <v>2627233</v>
      </c>
      <c r="T93" s="55">
        <v>2590781</v>
      </c>
      <c r="U93" s="55">
        <v>2555012</v>
      </c>
    </row>
    <row r="94" spans="1:21" x14ac:dyDescent="0.3">
      <c r="A94" s="395" t="s">
        <v>56</v>
      </c>
      <c r="B94" s="392"/>
      <c r="C94" s="55">
        <v>13030</v>
      </c>
      <c r="D94" s="55">
        <v>12962</v>
      </c>
      <c r="E94" s="55">
        <v>12945</v>
      </c>
      <c r="F94" s="55">
        <v>12966</v>
      </c>
      <c r="G94" s="55">
        <v>13001</v>
      </c>
      <c r="H94" s="55">
        <v>13027</v>
      </c>
      <c r="I94" s="55">
        <v>13022</v>
      </c>
      <c r="J94" s="55">
        <v>12977</v>
      </c>
      <c r="K94" s="55">
        <v>12886</v>
      </c>
      <c r="L94" s="55">
        <v>12752</v>
      </c>
      <c r="M94" s="55">
        <v>12589</v>
      </c>
      <c r="N94" s="55">
        <v>12409</v>
      </c>
      <c r="O94" s="55">
        <v>12219</v>
      </c>
      <c r="P94" s="55">
        <v>12020</v>
      </c>
      <c r="Q94" s="55">
        <v>11815</v>
      </c>
      <c r="R94" s="55">
        <v>11605</v>
      </c>
      <c r="S94" s="55">
        <v>11390</v>
      </c>
      <c r="T94" s="55">
        <v>11175</v>
      </c>
      <c r="U94" s="55">
        <v>10961</v>
      </c>
    </row>
    <row r="95" spans="1:21" x14ac:dyDescent="0.3">
      <c r="A95" s="395" t="s">
        <v>34</v>
      </c>
      <c r="B95" s="392"/>
      <c r="C95" s="55">
        <v>25196622</v>
      </c>
      <c r="D95" s="55">
        <v>24861673</v>
      </c>
      <c r="E95" s="55">
        <v>24599886</v>
      </c>
      <c r="F95" s="55">
        <v>24414437</v>
      </c>
      <c r="G95" s="55">
        <v>24296610</v>
      </c>
      <c r="H95" s="55">
        <v>24220897</v>
      </c>
      <c r="I95" s="55">
        <v>24164357</v>
      </c>
      <c r="J95" s="55">
        <v>24116023</v>
      </c>
      <c r="K95" s="55">
        <v>24067825</v>
      </c>
      <c r="L95" s="55">
        <v>24016020</v>
      </c>
      <c r="M95" s="55">
        <v>23961756</v>
      </c>
      <c r="N95" s="55">
        <v>23904566</v>
      </c>
      <c r="O95" s="55">
        <v>23840272</v>
      </c>
      <c r="P95" s="55">
        <v>23765791</v>
      </c>
      <c r="Q95" s="55">
        <v>23679646</v>
      </c>
      <c r="R95" s="55">
        <v>23582057</v>
      </c>
      <c r="S95" s="55">
        <v>23472588</v>
      </c>
      <c r="T95" s="55">
        <v>23349422</v>
      </c>
      <c r="U95" s="55">
        <v>23209612</v>
      </c>
    </row>
    <row r="96" spans="1:21" x14ac:dyDescent="0.3">
      <c r="A96" s="395" t="s">
        <v>307</v>
      </c>
      <c r="B96" s="392"/>
      <c r="C96" s="55">
        <v>1403593</v>
      </c>
      <c r="D96" s="55">
        <v>1437603</v>
      </c>
      <c r="E96" s="55">
        <v>1471202</v>
      </c>
      <c r="F96" s="55">
        <v>1500980</v>
      </c>
      <c r="G96" s="55">
        <v>1523086</v>
      </c>
      <c r="H96" s="55">
        <v>1535030</v>
      </c>
      <c r="I96" s="55">
        <v>1535518</v>
      </c>
      <c r="J96" s="55">
        <v>1524492</v>
      </c>
      <c r="K96" s="55">
        <v>1503007</v>
      </c>
      <c r="L96" s="55">
        <v>1473296</v>
      </c>
      <c r="M96" s="55">
        <v>1439176</v>
      </c>
      <c r="N96" s="55">
        <v>1404165</v>
      </c>
      <c r="O96" s="55">
        <v>1370404</v>
      </c>
      <c r="P96" s="55">
        <v>1339405</v>
      </c>
      <c r="Q96" s="55">
        <v>1311714</v>
      </c>
      <c r="R96" s="55">
        <v>1286656</v>
      </c>
      <c r="S96" s="55">
        <v>1263839</v>
      </c>
      <c r="T96" s="55">
        <v>1243708</v>
      </c>
      <c r="U96" s="55">
        <v>1226716</v>
      </c>
    </row>
    <row r="97" spans="1:21" x14ac:dyDescent="0.3">
      <c r="A97" s="395" t="s">
        <v>198</v>
      </c>
      <c r="B97" s="392"/>
      <c r="C97" s="55">
        <v>7500</v>
      </c>
      <c r="D97" s="55">
        <v>7524</v>
      </c>
      <c r="E97" s="55">
        <v>7509</v>
      </c>
      <c r="F97" s="55">
        <v>7456</v>
      </c>
      <c r="G97" s="55">
        <v>7370</v>
      </c>
      <c r="H97" s="55">
        <v>7259</v>
      </c>
      <c r="I97" s="55">
        <v>7129</v>
      </c>
      <c r="J97" s="55">
        <v>6987</v>
      </c>
      <c r="K97" s="55">
        <v>6835</v>
      </c>
      <c r="L97" s="55">
        <v>6673</v>
      </c>
      <c r="M97" s="55">
        <v>6500</v>
      </c>
      <c r="N97" s="55">
        <v>6319</v>
      </c>
      <c r="O97" s="55">
        <v>6136</v>
      </c>
      <c r="P97" s="55">
        <v>5958</v>
      </c>
      <c r="Q97" s="55">
        <v>5791</v>
      </c>
      <c r="R97" s="55">
        <v>5640</v>
      </c>
      <c r="S97" s="55">
        <v>5510</v>
      </c>
      <c r="T97" s="55">
        <v>5404</v>
      </c>
      <c r="U97" s="55">
        <v>5326</v>
      </c>
    </row>
    <row r="98" spans="1:21" x14ac:dyDescent="0.3">
      <c r="A98" s="395" t="s">
        <v>80</v>
      </c>
      <c r="B98" s="392"/>
      <c r="C98" s="55">
        <v>590568</v>
      </c>
      <c r="D98" s="55">
        <v>583472</v>
      </c>
      <c r="E98" s="55">
        <v>577150</v>
      </c>
      <c r="F98" s="55">
        <v>571808</v>
      </c>
      <c r="G98" s="55">
        <v>567753</v>
      </c>
      <c r="H98" s="55">
        <v>565043</v>
      </c>
      <c r="I98" s="55">
        <v>563496</v>
      </c>
      <c r="J98" s="55">
        <v>562730</v>
      </c>
      <c r="K98" s="55">
        <v>562119</v>
      </c>
      <c r="L98" s="55">
        <v>560945</v>
      </c>
      <c r="M98" s="55">
        <v>558617</v>
      </c>
      <c r="N98" s="55">
        <v>554703</v>
      </c>
      <c r="O98" s="55">
        <v>548991</v>
      </c>
      <c r="P98" s="55">
        <v>541445</v>
      </c>
      <c r="Q98" s="55">
        <v>532260</v>
      </c>
      <c r="R98" s="55">
        <v>521999</v>
      </c>
      <c r="S98" s="55">
        <v>511192</v>
      </c>
      <c r="T98" s="55">
        <v>500136</v>
      </c>
      <c r="U98" s="55">
        <v>489047</v>
      </c>
    </row>
    <row r="99" spans="1:21" x14ac:dyDescent="0.3">
      <c r="A99" s="395" t="s">
        <v>41</v>
      </c>
      <c r="B99" s="392"/>
      <c r="C99" s="55">
        <v>5564878</v>
      </c>
      <c r="D99" s="55">
        <v>5651664</v>
      </c>
      <c r="E99" s="55">
        <v>5738343</v>
      </c>
      <c r="F99" s="55">
        <v>5820357</v>
      </c>
      <c r="G99" s="55">
        <v>5892917</v>
      </c>
      <c r="H99" s="55">
        <v>5952971</v>
      </c>
      <c r="I99" s="55">
        <v>5998664</v>
      </c>
      <c r="J99" s="55">
        <v>6029320</v>
      </c>
      <c r="K99" s="55">
        <v>6045567</v>
      </c>
      <c r="L99" s="55">
        <v>6049547</v>
      </c>
      <c r="M99" s="55">
        <v>6045532</v>
      </c>
      <c r="N99" s="55">
        <v>6037460</v>
      </c>
      <c r="O99" s="55">
        <v>6027612</v>
      </c>
      <c r="P99" s="55">
        <v>6017450</v>
      </c>
      <c r="Q99" s="55">
        <v>6007416</v>
      </c>
      <c r="R99" s="55">
        <v>5997022</v>
      </c>
      <c r="S99" s="55">
        <v>5986287</v>
      </c>
      <c r="T99" s="55">
        <v>5976206</v>
      </c>
      <c r="U99" s="55">
        <v>5967919</v>
      </c>
    </row>
    <row r="100" spans="1:21" x14ac:dyDescent="0.3">
      <c r="A100" s="395" t="s">
        <v>86</v>
      </c>
      <c r="B100" s="392"/>
      <c r="C100" s="55">
        <v>355925</v>
      </c>
      <c r="D100" s="55">
        <v>353013</v>
      </c>
      <c r="E100" s="55">
        <v>350086</v>
      </c>
      <c r="F100" s="55">
        <v>347069</v>
      </c>
      <c r="G100" s="55">
        <v>343784</v>
      </c>
      <c r="H100" s="55">
        <v>340066</v>
      </c>
      <c r="I100" s="55">
        <v>335858</v>
      </c>
      <c r="J100" s="55">
        <v>331249</v>
      </c>
      <c r="K100" s="55">
        <v>326419</v>
      </c>
      <c r="L100" s="55">
        <v>321602</v>
      </c>
      <c r="M100" s="55">
        <v>317048</v>
      </c>
      <c r="N100" s="55">
        <v>312956</v>
      </c>
      <c r="O100" s="55">
        <v>309432</v>
      </c>
      <c r="P100" s="55">
        <v>306537</v>
      </c>
      <c r="Q100" s="55">
        <v>304253</v>
      </c>
      <c r="R100" s="55">
        <v>302420</v>
      </c>
      <c r="S100" s="55">
        <v>300879</v>
      </c>
      <c r="T100" s="55">
        <v>299541</v>
      </c>
      <c r="U100" s="55">
        <v>298331</v>
      </c>
    </row>
    <row r="101" spans="1:21" x14ac:dyDescent="0.3">
      <c r="A101" s="396" t="s">
        <v>308</v>
      </c>
      <c r="B101" s="392"/>
      <c r="C101" s="55">
        <v>11797471</v>
      </c>
      <c r="D101" s="55">
        <v>11763839</v>
      </c>
      <c r="E101" s="55">
        <v>11715052</v>
      </c>
      <c r="F101" s="55">
        <v>11653670</v>
      </c>
      <c r="G101" s="55">
        <v>11583685</v>
      </c>
      <c r="H101" s="55">
        <v>11510364</v>
      </c>
      <c r="I101" s="55">
        <v>11438255</v>
      </c>
      <c r="J101" s="55">
        <v>11369961</v>
      </c>
      <c r="K101" s="55">
        <v>11307240</v>
      </c>
      <c r="L101" s="55">
        <v>11250390</v>
      </c>
      <c r="M101" s="55">
        <v>11197296</v>
      </c>
      <c r="N101" s="55">
        <v>11145974</v>
      </c>
      <c r="O101" s="55">
        <v>11095682</v>
      </c>
      <c r="P101" s="55">
        <v>11045223</v>
      </c>
      <c r="Q101" s="55">
        <v>10993316</v>
      </c>
      <c r="R101" s="55">
        <v>10939238</v>
      </c>
      <c r="S101" s="55">
        <v>10882659</v>
      </c>
      <c r="T101" s="55">
        <v>10823615</v>
      </c>
      <c r="U101" s="55">
        <v>10762561</v>
      </c>
    </row>
    <row r="102" spans="1:21" x14ac:dyDescent="0.3">
      <c r="A102" s="395" t="s">
        <v>309</v>
      </c>
      <c r="B102" s="392"/>
      <c r="C102" s="55">
        <v>6894</v>
      </c>
      <c r="D102" s="55">
        <v>6903</v>
      </c>
      <c r="E102" s="55">
        <v>6862</v>
      </c>
      <c r="F102" s="55">
        <v>6774</v>
      </c>
      <c r="G102" s="55">
        <v>6650</v>
      </c>
      <c r="H102" s="55">
        <v>6513</v>
      </c>
      <c r="I102" s="55">
        <v>6380</v>
      </c>
      <c r="J102" s="55">
        <v>6260</v>
      </c>
      <c r="K102" s="55">
        <v>6156</v>
      </c>
      <c r="L102" s="55">
        <v>6067</v>
      </c>
      <c r="M102" s="55">
        <v>5986</v>
      </c>
      <c r="N102" s="55">
        <v>5907</v>
      </c>
      <c r="O102" s="55">
        <v>5832</v>
      </c>
      <c r="P102" s="55">
        <v>5757</v>
      </c>
      <c r="Q102" s="55">
        <v>5684</v>
      </c>
      <c r="R102" s="55">
        <v>5612</v>
      </c>
      <c r="S102" s="55">
        <v>5543</v>
      </c>
      <c r="T102" s="55">
        <v>5477</v>
      </c>
      <c r="U102" s="55">
        <v>5414</v>
      </c>
    </row>
    <row r="103" spans="1:21" x14ac:dyDescent="0.3">
      <c r="A103" s="395" t="s">
        <v>58</v>
      </c>
      <c r="B103" s="392"/>
      <c r="C103" s="55">
        <v>367107</v>
      </c>
      <c r="D103" s="55">
        <v>367364</v>
      </c>
      <c r="E103" s="55">
        <v>367528</v>
      </c>
      <c r="F103" s="55">
        <v>367521</v>
      </c>
      <c r="G103" s="55">
        <v>367173</v>
      </c>
      <c r="H103" s="55">
        <v>366305</v>
      </c>
      <c r="I103" s="55">
        <v>364824</v>
      </c>
      <c r="J103" s="55">
        <v>362761</v>
      </c>
      <c r="K103" s="55">
        <v>360189</v>
      </c>
      <c r="L103" s="55">
        <v>357220</v>
      </c>
      <c r="M103" s="55">
        <v>354057</v>
      </c>
      <c r="N103" s="55">
        <v>350903</v>
      </c>
      <c r="O103" s="55">
        <v>347911</v>
      </c>
      <c r="P103" s="55">
        <v>345231</v>
      </c>
      <c r="Q103" s="55">
        <v>342969</v>
      </c>
      <c r="R103" s="55">
        <v>341120</v>
      </c>
      <c r="S103" s="55">
        <v>339666</v>
      </c>
      <c r="T103" s="55">
        <v>338609</v>
      </c>
      <c r="U103" s="55">
        <v>337948</v>
      </c>
    </row>
    <row r="104" spans="1:21" x14ac:dyDescent="0.3">
      <c r="A104" s="395" t="s">
        <v>35</v>
      </c>
      <c r="B104" s="392"/>
      <c r="C104" s="55">
        <v>5026351</v>
      </c>
      <c r="D104" s="55">
        <v>5007772</v>
      </c>
      <c r="E104" s="55">
        <v>4980690</v>
      </c>
      <c r="F104" s="55">
        <v>4947127</v>
      </c>
      <c r="G104" s="55">
        <v>4909666</v>
      </c>
      <c r="H104" s="55">
        <v>4871228</v>
      </c>
      <c r="I104" s="55">
        <v>4834361</v>
      </c>
      <c r="J104" s="55">
        <v>4800697</v>
      </c>
      <c r="K104" s="55">
        <v>4771211</v>
      </c>
      <c r="L104" s="55">
        <v>4745911</v>
      </c>
      <c r="M104" s="55">
        <v>4723423</v>
      </c>
      <c r="N104" s="55">
        <v>4702577</v>
      </c>
      <c r="O104" s="55">
        <v>4683084</v>
      </c>
      <c r="P104" s="55">
        <v>4664700</v>
      </c>
      <c r="Q104" s="55">
        <v>4647240</v>
      </c>
      <c r="R104" s="55">
        <v>4630546</v>
      </c>
      <c r="S104" s="55">
        <v>4614411</v>
      </c>
      <c r="T104" s="55">
        <v>4598586</v>
      </c>
      <c r="U104" s="55">
        <v>4582918</v>
      </c>
    </row>
    <row r="105" spans="1:21" x14ac:dyDescent="0.3">
      <c r="A105" s="395" t="s">
        <v>116</v>
      </c>
      <c r="B105" s="392"/>
      <c r="C105" s="55">
        <v>167146</v>
      </c>
      <c r="D105" s="55">
        <v>166962</v>
      </c>
      <c r="E105" s="55">
        <v>166911</v>
      </c>
      <c r="F105" s="55">
        <v>166933</v>
      </c>
      <c r="G105" s="55">
        <v>166925</v>
      </c>
      <c r="H105" s="55">
        <v>166764</v>
      </c>
      <c r="I105" s="55">
        <v>166361</v>
      </c>
      <c r="J105" s="55">
        <v>165690</v>
      </c>
      <c r="K105" s="55">
        <v>164753</v>
      </c>
      <c r="L105" s="55">
        <v>163586</v>
      </c>
      <c r="M105" s="55">
        <v>162275</v>
      </c>
      <c r="N105" s="55">
        <v>160900</v>
      </c>
      <c r="O105" s="55">
        <v>159501</v>
      </c>
      <c r="P105" s="55">
        <v>158108</v>
      </c>
      <c r="Q105" s="55">
        <v>156730</v>
      </c>
      <c r="R105" s="55">
        <v>155361</v>
      </c>
      <c r="S105" s="55">
        <v>153998</v>
      </c>
      <c r="T105" s="55">
        <v>152656</v>
      </c>
      <c r="U105" s="55">
        <v>151352</v>
      </c>
    </row>
    <row r="106" spans="1:21" x14ac:dyDescent="0.3">
      <c r="A106" s="395" t="s">
        <v>310</v>
      </c>
      <c r="B106" s="392"/>
      <c r="C106" s="55">
        <v>497956</v>
      </c>
      <c r="D106" s="55">
        <v>504279</v>
      </c>
      <c r="E106" s="55">
        <v>510430</v>
      </c>
      <c r="F106" s="55">
        <v>516102.99999999994</v>
      </c>
      <c r="G106" s="55">
        <v>521065.00000000006</v>
      </c>
      <c r="H106" s="55">
        <v>525219</v>
      </c>
      <c r="I106" s="55">
        <v>528472</v>
      </c>
      <c r="J106" s="55">
        <v>530698</v>
      </c>
      <c r="K106" s="55">
        <v>531804</v>
      </c>
      <c r="L106" s="55">
        <v>531772</v>
      </c>
      <c r="M106" s="55">
        <v>530733</v>
      </c>
      <c r="N106" s="55">
        <v>528835</v>
      </c>
      <c r="O106" s="55">
        <v>526165</v>
      </c>
      <c r="P106" s="55">
        <v>522785.99999999994</v>
      </c>
      <c r="Q106" s="55">
        <v>518746</v>
      </c>
      <c r="R106" s="55">
        <v>514128.00000000006</v>
      </c>
      <c r="S106" s="55">
        <v>509051</v>
      </c>
      <c r="T106" s="55">
        <v>503655</v>
      </c>
      <c r="U106" s="55">
        <v>498036</v>
      </c>
    </row>
    <row r="107" spans="1:21" x14ac:dyDescent="0.3">
      <c r="A107" s="395" t="s">
        <v>79</v>
      </c>
      <c r="B107" s="392"/>
      <c r="C107" s="55">
        <v>972216</v>
      </c>
      <c r="D107" s="55">
        <v>961505</v>
      </c>
      <c r="E107" s="55">
        <v>953960</v>
      </c>
      <c r="F107" s="55">
        <v>949200</v>
      </c>
      <c r="G107" s="55">
        <v>946515</v>
      </c>
      <c r="H107" s="55">
        <v>944871</v>
      </c>
      <c r="I107" s="55">
        <v>943387</v>
      </c>
      <c r="J107" s="55">
        <v>941600</v>
      </c>
      <c r="K107" s="55">
        <v>939304</v>
      </c>
      <c r="L107" s="55">
        <v>936591</v>
      </c>
      <c r="M107" s="55">
        <v>933834</v>
      </c>
      <c r="N107" s="55">
        <v>931270</v>
      </c>
      <c r="O107" s="55">
        <v>928831</v>
      </c>
      <c r="P107" s="55">
        <v>926415</v>
      </c>
      <c r="Q107" s="55">
        <v>923897</v>
      </c>
      <c r="R107" s="55">
        <v>921113</v>
      </c>
      <c r="S107" s="55">
        <v>917903</v>
      </c>
      <c r="T107" s="55">
        <v>914143</v>
      </c>
      <c r="U107" s="55">
        <v>909687</v>
      </c>
    </row>
    <row r="108" spans="1:21" x14ac:dyDescent="0.3">
      <c r="A108" s="395" t="s">
        <v>42</v>
      </c>
      <c r="B108" s="392"/>
      <c r="C108" s="55">
        <v>2347501</v>
      </c>
      <c r="D108" s="55">
        <v>2328695</v>
      </c>
      <c r="E108" s="55">
        <v>2301521</v>
      </c>
      <c r="F108" s="55">
        <v>2269335</v>
      </c>
      <c r="G108" s="55">
        <v>2237045</v>
      </c>
      <c r="H108" s="55">
        <v>2209723</v>
      </c>
      <c r="I108" s="55">
        <v>2190976</v>
      </c>
      <c r="J108" s="55">
        <v>2182014</v>
      </c>
      <c r="K108" s="55">
        <v>2182501</v>
      </c>
      <c r="L108" s="55">
        <v>2190398</v>
      </c>
      <c r="M108" s="55">
        <v>2201643</v>
      </c>
      <c r="N108" s="55">
        <v>2212753</v>
      </c>
      <c r="O108" s="55">
        <v>2222128</v>
      </c>
      <c r="P108" s="55">
        <v>2228782</v>
      </c>
      <c r="Q108" s="55">
        <v>2232578</v>
      </c>
      <c r="R108" s="55">
        <v>2234448</v>
      </c>
      <c r="S108" s="55">
        <v>2235063</v>
      </c>
      <c r="T108" s="55">
        <v>2234303</v>
      </c>
      <c r="U108" s="55">
        <v>2231929</v>
      </c>
    </row>
    <row r="109" spans="1:21" x14ac:dyDescent="0.3">
      <c r="A109" s="395" t="s">
        <v>311</v>
      </c>
      <c r="B109" s="392"/>
      <c r="C109" s="55">
        <v>50485</v>
      </c>
      <c r="D109" s="55">
        <v>50797</v>
      </c>
      <c r="E109" s="55">
        <v>50913</v>
      </c>
      <c r="F109" s="55">
        <v>50855</v>
      </c>
      <c r="G109" s="55">
        <v>50676</v>
      </c>
      <c r="H109" s="55">
        <v>50456</v>
      </c>
      <c r="I109" s="55">
        <v>50256</v>
      </c>
      <c r="J109" s="55">
        <v>50096</v>
      </c>
      <c r="K109" s="55">
        <v>49976</v>
      </c>
      <c r="L109" s="55">
        <v>49878</v>
      </c>
      <c r="M109" s="55">
        <v>49762</v>
      </c>
      <c r="N109" s="55">
        <v>49590</v>
      </c>
      <c r="O109" s="55">
        <v>49351</v>
      </c>
      <c r="P109" s="55">
        <v>49028</v>
      </c>
      <c r="Q109" s="55">
        <v>48613</v>
      </c>
      <c r="R109" s="55">
        <v>48116</v>
      </c>
      <c r="S109" s="55">
        <v>47550</v>
      </c>
      <c r="T109" s="55">
        <v>46927</v>
      </c>
      <c r="U109" s="55">
        <v>46257</v>
      </c>
    </row>
    <row r="110" spans="1:21" x14ac:dyDescent="0.3">
      <c r="A110" s="395" t="s">
        <v>312</v>
      </c>
      <c r="B110" s="392"/>
      <c r="C110" s="55">
        <v>770112</v>
      </c>
      <c r="D110" s="55">
        <v>761026</v>
      </c>
      <c r="E110" s="55">
        <v>752533</v>
      </c>
      <c r="F110" s="55">
        <v>744333</v>
      </c>
      <c r="G110" s="55">
        <v>736008</v>
      </c>
      <c r="H110" s="55">
        <v>727190</v>
      </c>
      <c r="I110" s="55">
        <v>717660</v>
      </c>
      <c r="J110" s="55">
        <v>707398</v>
      </c>
      <c r="K110" s="55">
        <v>696526</v>
      </c>
      <c r="L110" s="55">
        <v>685304</v>
      </c>
      <c r="M110" s="55">
        <v>674141</v>
      </c>
      <c r="N110" s="55">
        <v>663392</v>
      </c>
      <c r="O110" s="55">
        <v>653247</v>
      </c>
      <c r="P110" s="55">
        <v>643840</v>
      </c>
      <c r="Q110" s="55">
        <v>635209</v>
      </c>
      <c r="R110" s="55">
        <v>627228</v>
      </c>
      <c r="S110" s="55">
        <v>619784</v>
      </c>
      <c r="T110" s="55">
        <v>612843</v>
      </c>
      <c r="U110" s="55">
        <v>606390</v>
      </c>
    </row>
    <row r="111" spans="1:21" x14ac:dyDescent="0.3">
      <c r="A111" s="395" t="s">
        <v>89</v>
      </c>
      <c r="B111" s="392"/>
      <c r="C111" s="55">
        <v>33636</v>
      </c>
      <c r="D111" s="55">
        <v>33998</v>
      </c>
      <c r="E111" s="55">
        <v>34554</v>
      </c>
      <c r="F111" s="55">
        <v>35250</v>
      </c>
      <c r="G111" s="55">
        <v>36010</v>
      </c>
      <c r="H111" s="55">
        <v>36746</v>
      </c>
      <c r="I111" s="55">
        <v>37388</v>
      </c>
      <c r="J111" s="55">
        <v>37899</v>
      </c>
      <c r="K111" s="55">
        <v>38264</v>
      </c>
      <c r="L111" s="55">
        <v>38499</v>
      </c>
      <c r="M111" s="55">
        <v>38653</v>
      </c>
      <c r="N111" s="55">
        <v>38767</v>
      </c>
      <c r="O111" s="55">
        <v>38851</v>
      </c>
      <c r="P111" s="55">
        <v>38909</v>
      </c>
      <c r="Q111" s="55">
        <v>38938</v>
      </c>
      <c r="R111" s="55">
        <v>38931</v>
      </c>
      <c r="S111" s="55">
        <v>38882</v>
      </c>
      <c r="T111" s="55">
        <v>38795</v>
      </c>
      <c r="U111" s="55">
        <v>38673</v>
      </c>
    </row>
    <row r="112" spans="1:21" x14ac:dyDescent="0.3">
      <c r="A112" s="395" t="s">
        <v>92</v>
      </c>
      <c r="B112" s="392"/>
      <c r="C112" s="55">
        <v>1558067</v>
      </c>
      <c r="D112" s="55">
        <v>1574538</v>
      </c>
      <c r="E112" s="55">
        <v>1589150</v>
      </c>
      <c r="F112" s="55">
        <v>1600239</v>
      </c>
      <c r="G112" s="55">
        <v>1605952</v>
      </c>
      <c r="H112" s="55">
        <v>1605349</v>
      </c>
      <c r="I112" s="55">
        <v>1598190</v>
      </c>
      <c r="J112" s="55">
        <v>1584848</v>
      </c>
      <c r="K112" s="55">
        <v>1566556</v>
      </c>
      <c r="L112" s="55">
        <v>1545164</v>
      </c>
      <c r="M112" s="55">
        <v>1522789</v>
      </c>
      <c r="N112" s="55">
        <v>1501080</v>
      </c>
      <c r="O112" s="55">
        <v>1480781</v>
      </c>
      <c r="P112" s="55">
        <v>1461667</v>
      </c>
      <c r="Q112" s="55">
        <v>1442712</v>
      </c>
      <c r="R112" s="55">
        <v>1422635</v>
      </c>
      <c r="S112" s="55">
        <v>1400808</v>
      </c>
      <c r="T112" s="55">
        <v>1377621</v>
      </c>
      <c r="U112" s="55">
        <v>1353957</v>
      </c>
    </row>
    <row r="113" spans="1:21" x14ac:dyDescent="0.3">
      <c r="A113" s="396" t="s">
        <v>249</v>
      </c>
      <c r="B113" s="392"/>
      <c r="C113" s="55">
        <v>5513886</v>
      </c>
      <c r="D113" s="55">
        <v>5542029</v>
      </c>
      <c r="E113" s="55">
        <v>5557856</v>
      </c>
      <c r="F113" s="55">
        <v>5562460</v>
      </c>
      <c r="G113" s="55">
        <v>5558140</v>
      </c>
      <c r="H113" s="55">
        <v>5548549</v>
      </c>
      <c r="I113" s="55">
        <v>5536887</v>
      </c>
      <c r="J113" s="55">
        <v>5524904</v>
      </c>
      <c r="K113" s="55">
        <v>5513535</v>
      </c>
      <c r="L113" s="55">
        <v>5502747</v>
      </c>
      <c r="M113" s="55">
        <v>5491506</v>
      </c>
      <c r="N113" s="55">
        <v>5479211</v>
      </c>
      <c r="O113" s="55">
        <v>5466229</v>
      </c>
      <c r="P113" s="55">
        <v>5452901</v>
      </c>
      <c r="Q113" s="55">
        <v>5439538</v>
      </c>
      <c r="R113" s="55">
        <v>5426531</v>
      </c>
      <c r="S113" s="55">
        <v>5414353</v>
      </c>
      <c r="T113" s="55">
        <v>5403481</v>
      </c>
      <c r="U113" s="55">
        <v>5394506</v>
      </c>
    </row>
    <row r="114" spans="1:21" x14ac:dyDescent="0.3">
      <c r="A114" s="395" t="s">
        <v>161</v>
      </c>
      <c r="B114" s="392"/>
      <c r="C114" s="55">
        <v>44210</v>
      </c>
      <c r="D114" s="55">
        <v>43943</v>
      </c>
      <c r="E114" s="55">
        <v>43603</v>
      </c>
      <c r="F114" s="55">
        <v>43178</v>
      </c>
      <c r="G114" s="55">
        <v>42644</v>
      </c>
      <c r="H114" s="55">
        <v>41984</v>
      </c>
      <c r="I114" s="55">
        <v>41197</v>
      </c>
      <c r="J114" s="55">
        <v>40300</v>
      </c>
      <c r="K114" s="55">
        <v>39311</v>
      </c>
      <c r="L114" s="55">
        <v>38255</v>
      </c>
      <c r="M114" s="55">
        <v>37169</v>
      </c>
      <c r="N114" s="55">
        <v>36092</v>
      </c>
      <c r="O114" s="55">
        <v>35061</v>
      </c>
      <c r="P114" s="55">
        <v>34105</v>
      </c>
      <c r="Q114" s="55">
        <v>33246</v>
      </c>
      <c r="R114" s="55">
        <v>32485</v>
      </c>
      <c r="S114" s="55">
        <v>31826</v>
      </c>
      <c r="T114" s="55">
        <v>31280</v>
      </c>
      <c r="U114" s="55">
        <v>30857</v>
      </c>
    </row>
    <row r="115" spans="1:21" x14ac:dyDescent="0.3">
      <c r="A115" s="395" t="s">
        <v>162</v>
      </c>
      <c r="B115" s="392"/>
      <c r="C115" s="55">
        <v>174418</v>
      </c>
      <c r="D115" s="55">
        <v>177412</v>
      </c>
      <c r="E115" s="55">
        <v>178602</v>
      </c>
      <c r="F115" s="55">
        <v>177884</v>
      </c>
      <c r="G115" s="55">
        <v>175365</v>
      </c>
      <c r="H115" s="55">
        <v>171554</v>
      </c>
      <c r="I115" s="55">
        <v>166969</v>
      </c>
      <c r="J115" s="55">
        <v>161937</v>
      </c>
      <c r="K115" s="55">
        <v>156761</v>
      </c>
      <c r="L115" s="55">
        <v>151668</v>
      </c>
      <c r="M115" s="55">
        <v>146785</v>
      </c>
      <c r="N115" s="55">
        <v>142254</v>
      </c>
      <c r="O115" s="55">
        <v>138262</v>
      </c>
      <c r="P115" s="55">
        <v>134976</v>
      </c>
      <c r="Q115" s="55">
        <v>132486</v>
      </c>
      <c r="R115" s="55">
        <v>130709</v>
      </c>
      <c r="S115" s="55">
        <v>129542</v>
      </c>
      <c r="T115" s="55">
        <v>128925.99999999999</v>
      </c>
      <c r="U115" s="55">
        <v>128797</v>
      </c>
    </row>
    <row r="116" spans="1:21" x14ac:dyDescent="0.3">
      <c r="A116" s="395" t="s">
        <v>313</v>
      </c>
      <c r="B116" s="392"/>
      <c r="C116" s="55">
        <v>20635</v>
      </c>
      <c r="D116" s="55">
        <v>20977</v>
      </c>
      <c r="E116" s="55">
        <v>21259</v>
      </c>
      <c r="F116" s="55">
        <v>21483</v>
      </c>
      <c r="G116" s="55">
        <v>21658</v>
      </c>
      <c r="H116" s="55">
        <v>21796</v>
      </c>
      <c r="I116" s="55">
        <v>21910</v>
      </c>
      <c r="J116" s="55">
        <v>22009</v>
      </c>
      <c r="K116" s="55">
        <v>22096</v>
      </c>
      <c r="L116" s="55">
        <v>22173</v>
      </c>
      <c r="M116" s="55">
        <v>22238</v>
      </c>
      <c r="N116" s="55">
        <v>22291</v>
      </c>
      <c r="O116" s="55">
        <v>22333</v>
      </c>
      <c r="P116" s="55">
        <v>22369</v>
      </c>
      <c r="Q116" s="55">
        <v>22406</v>
      </c>
      <c r="R116" s="55">
        <v>22442</v>
      </c>
      <c r="S116" s="55">
        <v>22476</v>
      </c>
      <c r="T116" s="55">
        <v>22502</v>
      </c>
      <c r="U116" s="55">
        <v>22510</v>
      </c>
    </row>
    <row r="117" spans="1:21" x14ac:dyDescent="0.3">
      <c r="A117" s="395" t="s">
        <v>314</v>
      </c>
      <c r="B117" s="392"/>
      <c r="C117" s="55">
        <v>12848</v>
      </c>
      <c r="D117" s="55">
        <v>12862</v>
      </c>
      <c r="E117" s="55">
        <v>12849</v>
      </c>
      <c r="F117" s="55">
        <v>12803</v>
      </c>
      <c r="G117" s="55">
        <v>12718</v>
      </c>
      <c r="H117" s="55">
        <v>12597</v>
      </c>
      <c r="I117" s="55">
        <v>12443</v>
      </c>
      <c r="J117" s="55">
        <v>12265</v>
      </c>
      <c r="K117" s="55">
        <v>12070</v>
      </c>
      <c r="L117" s="55">
        <v>11869</v>
      </c>
      <c r="M117" s="55">
        <v>11672</v>
      </c>
      <c r="N117" s="55">
        <v>11489</v>
      </c>
      <c r="O117" s="55">
        <v>11328</v>
      </c>
      <c r="P117" s="55">
        <v>11196</v>
      </c>
      <c r="Q117" s="55">
        <v>11096</v>
      </c>
      <c r="R117" s="55">
        <v>11024</v>
      </c>
      <c r="S117" s="55">
        <v>10976</v>
      </c>
      <c r="T117" s="55">
        <v>10951</v>
      </c>
      <c r="U117" s="55">
        <v>10946</v>
      </c>
    </row>
    <row r="118" spans="1:21" x14ac:dyDescent="0.3">
      <c r="A118" s="395" t="s">
        <v>188</v>
      </c>
      <c r="B118" s="392"/>
      <c r="C118" s="55">
        <v>57550</v>
      </c>
      <c r="D118" s="55">
        <v>57529</v>
      </c>
      <c r="E118" s="55">
        <v>57266</v>
      </c>
      <c r="F118" s="55">
        <v>56752</v>
      </c>
      <c r="G118" s="55">
        <v>55991</v>
      </c>
      <c r="H118" s="55">
        <v>55028</v>
      </c>
      <c r="I118" s="55">
        <v>53918</v>
      </c>
      <c r="J118" s="55">
        <v>52711</v>
      </c>
      <c r="K118" s="55">
        <v>51456</v>
      </c>
      <c r="L118" s="55">
        <v>50198</v>
      </c>
      <c r="M118" s="55">
        <v>48968</v>
      </c>
      <c r="N118" s="55">
        <v>47804</v>
      </c>
      <c r="O118" s="55">
        <v>46742</v>
      </c>
      <c r="P118" s="55">
        <v>45813</v>
      </c>
      <c r="Q118" s="55">
        <v>45031</v>
      </c>
      <c r="R118" s="55">
        <v>44381</v>
      </c>
      <c r="S118" s="55">
        <v>43850</v>
      </c>
      <c r="T118" s="55">
        <v>43434</v>
      </c>
      <c r="U118" s="55">
        <v>43130</v>
      </c>
    </row>
    <row r="119" spans="1:21" x14ac:dyDescent="0.3">
      <c r="A119" s="395" t="s">
        <v>72</v>
      </c>
      <c r="B119" s="392"/>
      <c r="C119" s="55">
        <v>1057214</v>
      </c>
      <c r="D119" s="55">
        <v>1073305</v>
      </c>
      <c r="E119" s="55">
        <v>1085274</v>
      </c>
      <c r="F119" s="55">
        <v>1093821</v>
      </c>
      <c r="G119" s="55">
        <v>1100350</v>
      </c>
      <c r="H119" s="55">
        <v>1106775</v>
      </c>
      <c r="I119" s="55">
        <v>1114586</v>
      </c>
      <c r="J119" s="55">
        <v>1124363</v>
      </c>
      <c r="K119" s="55">
        <v>1136256</v>
      </c>
      <c r="L119" s="55">
        <v>1149897</v>
      </c>
      <c r="M119" s="55">
        <v>1164281</v>
      </c>
      <c r="N119" s="55">
        <v>1178570</v>
      </c>
      <c r="O119" s="55">
        <v>1192462</v>
      </c>
      <c r="P119" s="55">
        <v>1205754</v>
      </c>
      <c r="Q119" s="55">
        <v>1218396</v>
      </c>
      <c r="R119" s="55">
        <v>1230564</v>
      </c>
      <c r="S119" s="55">
        <v>1242400</v>
      </c>
      <c r="T119" s="55">
        <v>1253909</v>
      </c>
      <c r="U119" s="55">
        <v>1265131</v>
      </c>
    </row>
    <row r="120" spans="1:21" x14ac:dyDescent="0.3">
      <c r="A120" s="395" t="s">
        <v>315</v>
      </c>
      <c r="B120" s="392"/>
      <c r="C120" s="55">
        <v>162382</v>
      </c>
      <c r="D120" s="55">
        <v>164822</v>
      </c>
      <c r="E120" s="55">
        <v>166769</v>
      </c>
      <c r="F120" s="55">
        <v>168201</v>
      </c>
      <c r="G120" s="55">
        <v>169139</v>
      </c>
      <c r="H120" s="55">
        <v>169702</v>
      </c>
      <c r="I120" s="55">
        <v>170017</v>
      </c>
      <c r="J120" s="55">
        <v>170176</v>
      </c>
      <c r="K120" s="55">
        <v>170262</v>
      </c>
      <c r="L120" s="55">
        <v>170344</v>
      </c>
      <c r="M120" s="55">
        <v>170466</v>
      </c>
      <c r="N120" s="55">
        <v>170675</v>
      </c>
      <c r="O120" s="55">
        <v>171029</v>
      </c>
      <c r="P120" s="55">
        <v>171573</v>
      </c>
      <c r="Q120" s="55">
        <v>172329</v>
      </c>
      <c r="R120" s="55">
        <v>173274</v>
      </c>
      <c r="S120" s="55">
        <v>174384</v>
      </c>
      <c r="T120" s="55">
        <v>175650</v>
      </c>
      <c r="U120" s="55">
        <v>177065</v>
      </c>
    </row>
    <row r="121" spans="1:21" x14ac:dyDescent="0.3">
      <c r="A121" s="395" t="s">
        <v>195</v>
      </c>
      <c r="B121" s="392"/>
      <c r="C121" s="55">
        <v>218052</v>
      </c>
      <c r="D121" s="55">
        <v>220004</v>
      </c>
      <c r="E121" s="55">
        <v>220616</v>
      </c>
      <c r="F121" s="55">
        <v>220103</v>
      </c>
      <c r="G121" s="55">
        <v>218839</v>
      </c>
      <c r="H121" s="55">
        <v>217302</v>
      </c>
      <c r="I121" s="55">
        <v>215872</v>
      </c>
      <c r="J121" s="55">
        <v>214710</v>
      </c>
      <c r="K121" s="55">
        <v>213830</v>
      </c>
      <c r="L121" s="55">
        <v>213092</v>
      </c>
      <c r="M121" s="55">
        <v>212241</v>
      </c>
      <c r="N121" s="55">
        <v>211108</v>
      </c>
      <c r="O121" s="55">
        <v>209692</v>
      </c>
      <c r="P121" s="55">
        <v>208057</v>
      </c>
      <c r="Q121" s="55">
        <v>206319</v>
      </c>
      <c r="R121" s="55">
        <v>204624</v>
      </c>
      <c r="S121" s="55">
        <v>203087</v>
      </c>
      <c r="T121" s="55">
        <v>201753</v>
      </c>
      <c r="U121" s="55">
        <v>200647</v>
      </c>
    </row>
    <row r="122" spans="1:21" x14ac:dyDescent="0.3">
      <c r="A122" s="395" t="s">
        <v>316</v>
      </c>
      <c r="B122" s="392"/>
      <c r="C122" s="55">
        <v>60566</v>
      </c>
      <c r="D122" s="55">
        <v>60930</v>
      </c>
      <c r="E122" s="55">
        <v>60956</v>
      </c>
      <c r="F122" s="55">
        <v>60597</v>
      </c>
      <c r="G122" s="55">
        <v>59804</v>
      </c>
      <c r="H122" s="55">
        <v>58620</v>
      </c>
      <c r="I122" s="55">
        <v>57136</v>
      </c>
      <c r="J122" s="55">
        <v>55466</v>
      </c>
      <c r="K122" s="55">
        <v>53768</v>
      </c>
      <c r="L122" s="55">
        <v>52210</v>
      </c>
      <c r="M122" s="55">
        <v>50924</v>
      </c>
      <c r="N122" s="55">
        <v>50012</v>
      </c>
      <c r="O122" s="55">
        <v>49536</v>
      </c>
      <c r="P122" s="55">
        <v>49523</v>
      </c>
      <c r="Q122" s="55">
        <v>49943</v>
      </c>
      <c r="R122" s="55">
        <v>50677</v>
      </c>
      <c r="S122" s="55">
        <v>51606</v>
      </c>
      <c r="T122" s="55">
        <v>52665</v>
      </c>
      <c r="U122" s="55">
        <v>53803</v>
      </c>
    </row>
    <row r="123" spans="1:21" x14ac:dyDescent="0.3">
      <c r="A123" s="395" t="s">
        <v>317</v>
      </c>
      <c r="B123" s="392"/>
      <c r="C123" s="55">
        <v>97024</v>
      </c>
      <c r="D123" s="55">
        <v>102423</v>
      </c>
      <c r="E123" s="55">
        <v>107313</v>
      </c>
      <c r="F123" s="55">
        <v>111355</v>
      </c>
      <c r="G123" s="55">
        <v>114309</v>
      </c>
      <c r="H123" s="55">
        <v>116188</v>
      </c>
      <c r="I123" s="55">
        <v>117037</v>
      </c>
      <c r="J123" s="55">
        <v>116860</v>
      </c>
      <c r="K123" s="55">
        <v>115701</v>
      </c>
      <c r="L123" s="55">
        <v>113668</v>
      </c>
      <c r="M123" s="55">
        <v>110993</v>
      </c>
      <c r="N123" s="55">
        <v>107920</v>
      </c>
      <c r="O123" s="55">
        <v>104628</v>
      </c>
      <c r="P123" s="55">
        <v>101270</v>
      </c>
      <c r="Q123" s="55">
        <v>97943</v>
      </c>
      <c r="R123" s="55">
        <v>94673</v>
      </c>
      <c r="S123" s="55">
        <v>91502</v>
      </c>
      <c r="T123" s="55">
        <v>88515</v>
      </c>
      <c r="U123" s="55">
        <v>85770</v>
      </c>
    </row>
    <row r="124" spans="1:21" x14ac:dyDescent="0.3">
      <c r="A124" s="395" t="s">
        <v>318</v>
      </c>
      <c r="B124" s="392"/>
      <c r="C124" s="55">
        <v>76280</v>
      </c>
      <c r="D124" s="55">
        <v>80068</v>
      </c>
      <c r="E124" s="55">
        <v>83639</v>
      </c>
      <c r="F124" s="55">
        <v>86724</v>
      </c>
      <c r="G124" s="55">
        <v>89069</v>
      </c>
      <c r="H124" s="55">
        <v>90568</v>
      </c>
      <c r="I124" s="55">
        <v>91186</v>
      </c>
      <c r="J124" s="55">
        <v>90937</v>
      </c>
      <c r="K124" s="55">
        <v>89906</v>
      </c>
      <c r="L124" s="55">
        <v>88256</v>
      </c>
      <c r="M124" s="55">
        <v>86250</v>
      </c>
      <c r="N124" s="55">
        <v>84130</v>
      </c>
      <c r="O124" s="55">
        <v>82049</v>
      </c>
      <c r="P124" s="55">
        <v>80107</v>
      </c>
      <c r="Q124" s="55">
        <v>78336</v>
      </c>
      <c r="R124" s="55">
        <v>76683</v>
      </c>
      <c r="S124" s="55">
        <v>75126</v>
      </c>
      <c r="T124" s="55">
        <v>73703</v>
      </c>
      <c r="U124" s="55">
        <v>72457</v>
      </c>
    </row>
    <row r="125" spans="1:21" x14ac:dyDescent="0.3">
      <c r="A125" s="395" t="s">
        <v>319</v>
      </c>
      <c r="B125" s="392"/>
      <c r="C125" s="55">
        <v>22747</v>
      </c>
      <c r="D125" s="55">
        <v>23777</v>
      </c>
      <c r="E125" s="55">
        <v>24649</v>
      </c>
      <c r="F125" s="55">
        <v>25342</v>
      </c>
      <c r="G125" s="55">
        <v>25853</v>
      </c>
      <c r="H125" s="55">
        <v>26214</v>
      </c>
      <c r="I125" s="55">
        <v>26459</v>
      </c>
      <c r="J125" s="55">
        <v>26604</v>
      </c>
      <c r="K125" s="55">
        <v>26670</v>
      </c>
      <c r="L125" s="55">
        <v>26674</v>
      </c>
      <c r="M125" s="55">
        <v>26629</v>
      </c>
      <c r="N125" s="55">
        <v>26555</v>
      </c>
      <c r="O125" s="55">
        <v>26465</v>
      </c>
      <c r="P125" s="55">
        <v>26370</v>
      </c>
      <c r="Q125" s="55">
        <v>26271</v>
      </c>
      <c r="R125" s="55">
        <v>26165</v>
      </c>
      <c r="S125" s="55">
        <v>26049</v>
      </c>
      <c r="T125" s="55">
        <v>25933</v>
      </c>
      <c r="U125" s="55">
        <v>25826</v>
      </c>
    </row>
    <row r="126" spans="1:21" x14ac:dyDescent="0.3">
      <c r="A126" s="395" t="s">
        <v>320</v>
      </c>
      <c r="B126" s="392"/>
      <c r="C126" s="55">
        <v>614982</v>
      </c>
      <c r="D126" s="55">
        <v>615253</v>
      </c>
      <c r="E126" s="55">
        <v>614144</v>
      </c>
      <c r="F126" s="55">
        <v>611710</v>
      </c>
      <c r="G126" s="55">
        <v>608068</v>
      </c>
      <c r="H126" s="55">
        <v>603431</v>
      </c>
      <c r="I126" s="55">
        <v>598003</v>
      </c>
      <c r="J126" s="55">
        <v>591914</v>
      </c>
      <c r="K126" s="55">
        <v>585170</v>
      </c>
      <c r="L126" s="55">
        <v>577692</v>
      </c>
      <c r="M126" s="55">
        <v>569468</v>
      </c>
      <c r="N126" s="55">
        <v>560597</v>
      </c>
      <c r="O126" s="55">
        <v>551297</v>
      </c>
      <c r="P126" s="55">
        <v>541804</v>
      </c>
      <c r="Q126" s="55">
        <v>532353</v>
      </c>
      <c r="R126" s="55">
        <v>523190.00000000006</v>
      </c>
      <c r="S126" s="55">
        <v>514575.00000000006</v>
      </c>
      <c r="T126" s="55">
        <v>506741</v>
      </c>
      <c r="U126" s="55">
        <v>499907</v>
      </c>
    </row>
    <row r="127" spans="1:21" x14ac:dyDescent="0.3">
      <c r="A127" s="395" t="s">
        <v>117</v>
      </c>
      <c r="B127" s="392"/>
      <c r="C127" s="55">
        <v>139671</v>
      </c>
      <c r="D127" s="55">
        <v>140828</v>
      </c>
      <c r="E127" s="55">
        <v>141541</v>
      </c>
      <c r="F127" s="55">
        <v>141909</v>
      </c>
      <c r="G127" s="55">
        <v>142100</v>
      </c>
      <c r="H127" s="55">
        <v>142314</v>
      </c>
      <c r="I127" s="55">
        <v>142703</v>
      </c>
      <c r="J127" s="55">
        <v>143324</v>
      </c>
      <c r="K127" s="55">
        <v>144176</v>
      </c>
      <c r="L127" s="55">
        <v>145192</v>
      </c>
      <c r="M127" s="55">
        <v>146247</v>
      </c>
      <c r="N127" s="55">
        <v>147242</v>
      </c>
      <c r="O127" s="55">
        <v>148151</v>
      </c>
      <c r="P127" s="55">
        <v>148971</v>
      </c>
      <c r="Q127" s="55">
        <v>149726</v>
      </c>
      <c r="R127" s="55">
        <v>150464</v>
      </c>
      <c r="S127" s="55">
        <v>151221</v>
      </c>
      <c r="T127" s="55">
        <v>152002</v>
      </c>
      <c r="U127" s="55">
        <v>152805</v>
      </c>
    </row>
    <row r="128" spans="1:21" x14ac:dyDescent="0.3">
      <c r="A128" s="395" t="s">
        <v>321</v>
      </c>
      <c r="B128" s="392"/>
      <c r="C128" s="55">
        <v>526113</v>
      </c>
      <c r="D128" s="55">
        <v>503950</v>
      </c>
      <c r="E128" s="55">
        <v>482406</v>
      </c>
      <c r="F128" s="55">
        <v>463066</v>
      </c>
      <c r="G128" s="55">
        <v>447156</v>
      </c>
      <c r="H128" s="55">
        <v>434905</v>
      </c>
      <c r="I128" s="55">
        <v>426351</v>
      </c>
      <c r="J128" s="55">
        <v>421622</v>
      </c>
      <c r="K128" s="55">
        <v>420602</v>
      </c>
      <c r="L128" s="55">
        <v>422829</v>
      </c>
      <c r="M128" s="55">
        <v>427201</v>
      </c>
      <c r="N128" s="55">
        <v>432605</v>
      </c>
      <c r="O128" s="55">
        <v>438281</v>
      </c>
      <c r="P128" s="55">
        <v>443417</v>
      </c>
      <c r="Q128" s="55">
        <v>447387</v>
      </c>
      <c r="R128" s="55">
        <v>450111</v>
      </c>
      <c r="S128" s="55">
        <v>451625</v>
      </c>
      <c r="T128" s="55">
        <v>451929</v>
      </c>
      <c r="U128" s="55">
        <v>451254</v>
      </c>
    </row>
    <row r="129" spans="1:21" x14ac:dyDescent="0.3">
      <c r="A129" s="395" t="s">
        <v>213</v>
      </c>
      <c r="B129" s="392"/>
      <c r="C129" s="55">
        <v>1304274</v>
      </c>
      <c r="D129" s="55">
        <v>1306982</v>
      </c>
      <c r="E129" s="55">
        <v>1310254</v>
      </c>
      <c r="F129" s="55">
        <v>1313258</v>
      </c>
      <c r="G129" s="55">
        <v>1315092</v>
      </c>
      <c r="H129" s="55">
        <v>1315099</v>
      </c>
      <c r="I129" s="55">
        <v>1312837</v>
      </c>
      <c r="J129" s="55">
        <v>1308105</v>
      </c>
      <c r="K129" s="55">
        <v>1300918</v>
      </c>
      <c r="L129" s="55">
        <v>1291578</v>
      </c>
      <c r="M129" s="55">
        <v>1280841</v>
      </c>
      <c r="N129" s="55">
        <v>1269427</v>
      </c>
      <c r="O129" s="55">
        <v>1257767</v>
      </c>
      <c r="P129" s="55">
        <v>1246228</v>
      </c>
      <c r="Q129" s="55">
        <v>1235034</v>
      </c>
      <c r="R129" s="55">
        <v>1224192</v>
      </c>
      <c r="S129" s="55">
        <v>1213725</v>
      </c>
      <c r="T129" s="55">
        <v>1203757</v>
      </c>
      <c r="U129" s="55">
        <v>1194368</v>
      </c>
    </row>
    <row r="130" spans="1:21" x14ac:dyDescent="0.3">
      <c r="A130" s="395" t="s">
        <v>322</v>
      </c>
      <c r="B130" s="392"/>
      <c r="C130" s="55">
        <v>99275</v>
      </c>
      <c r="D130" s="55">
        <v>100656</v>
      </c>
      <c r="E130" s="55">
        <v>101310</v>
      </c>
      <c r="F130" s="55">
        <v>101386</v>
      </c>
      <c r="G130" s="55">
        <v>101092</v>
      </c>
      <c r="H130" s="55">
        <v>100665</v>
      </c>
      <c r="I130" s="55">
        <v>100294</v>
      </c>
      <c r="J130" s="55">
        <v>100073</v>
      </c>
      <c r="K130" s="55">
        <v>100021</v>
      </c>
      <c r="L130" s="55">
        <v>100073</v>
      </c>
      <c r="M130" s="55">
        <v>100089</v>
      </c>
      <c r="N130" s="55">
        <v>99972</v>
      </c>
      <c r="O130" s="55">
        <v>99711</v>
      </c>
      <c r="P130" s="55">
        <v>99316</v>
      </c>
      <c r="Q130" s="55">
        <v>98815</v>
      </c>
      <c r="R130" s="55">
        <v>98271</v>
      </c>
      <c r="S130" s="55">
        <v>97746</v>
      </c>
      <c r="T130" s="55">
        <v>97278</v>
      </c>
      <c r="U130" s="55">
        <v>96899</v>
      </c>
    </row>
    <row r="131" spans="1:21" x14ac:dyDescent="0.3">
      <c r="A131" s="395" t="s">
        <v>94</v>
      </c>
      <c r="B131" s="392"/>
      <c r="C131" s="55">
        <v>825645</v>
      </c>
      <c r="D131" s="55">
        <v>836308</v>
      </c>
      <c r="E131" s="55">
        <v>845406</v>
      </c>
      <c r="F131" s="55">
        <v>852888</v>
      </c>
      <c r="G131" s="55">
        <v>858893</v>
      </c>
      <c r="H131" s="55">
        <v>863807</v>
      </c>
      <c r="I131" s="55">
        <v>867969</v>
      </c>
      <c r="J131" s="55">
        <v>871528</v>
      </c>
      <c r="K131" s="55">
        <v>874561</v>
      </c>
      <c r="L131" s="55">
        <v>877079</v>
      </c>
      <c r="M131" s="55">
        <v>879044</v>
      </c>
      <c r="N131" s="55">
        <v>880468</v>
      </c>
      <c r="O131" s="55">
        <v>881435</v>
      </c>
      <c r="P131" s="55">
        <v>882052</v>
      </c>
      <c r="Q131" s="55">
        <v>882421</v>
      </c>
      <c r="R131" s="55">
        <v>882602</v>
      </c>
      <c r="S131" s="55">
        <v>882637</v>
      </c>
      <c r="T131" s="55">
        <v>882553</v>
      </c>
      <c r="U131" s="55">
        <v>882334</v>
      </c>
    </row>
    <row r="132" spans="1:21" x14ac:dyDescent="0.3">
      <c r="A132" s="393" t="s">
        <v>323</v>
      </c>
      <c r="B132" s="392"/>
      <c r="C132" s="55">
        <v>16135166</v>
      </c>
      <c r="D132" s="55">
        <v>16079874</v>
      </c>
      <c r="E132" s="55">
        <v>15999104</v>
      </c>
      <c r="F132" s="55">
        <v>15895524</v>
      </c>
      <c r="G132" s="55">
        <v>15770352</v>
      </c>
      <c r="H132" s="55">
        <v>15625294</v>
      </c>
      <c r="I132" s="55">
        <v>15463734</v>
      </c>
      <c r="J132" s="55">
        <v>15290672</v>
      </c>
      <c r="K132" s="55">
        <v>15110042</v>
      </c>
      <c r="L132" s="55">
        <v>14924582</v>
      </c>
      <c r="M132" s="55">
        <v>14737032</v>
      </c>
      <c r="N132" s="55">
        <v>14551336</v>
      </c>
      <c r="O132" s="55">
        <v>14372504</v>
      </c>
      <c r="P132" s="55">
        <v>14205130</v>
      </c>
      <c r="Q132" s="55">
        <v>14052482</v>
      </c>
      <c r="R132" s="55">
        <v>13915714</v>
      </c>
      <c r="S132" s="55">
        <v>13796138</v>
      </c>
      <c r="T132" s="55">
        <v>13695824</v>
      </c>
      <c r="U132" s="55">
        <v>13617088</v>
      </c>
    </row>
    <row r="133" spans="1:21" x14ac:dyDescent="0.3">
      <c r="A133" s="396" t="s">
        <v>324</v>
      </c>
      <c r="B133" s="392"/>
      <c r="C133" s="55">
        <v>3425990</v>
      </c>
      <c r="D133" s="55">
        <v>3435516</v>
      </c>
      <c r="E133" s="55">
        <v>3433249</v>
      </c>
      <c r="F133" s="55">
        <v>3418328</v>
      </c>
      <c r="G133" s="55">
        <v>3389917</v>
      </c>
      <c r="H133" s="55">
        <v>3348924</v>
      </c>
      <c r="I133" s="55">
        <v>3297187</v>
      </c>
      <c r="J133" s="55">
        <v>3236928</v>
      </c>
      <c r="K133" s="55">
        <v>3170506</v>
      </c>
      <c r="L133" s="55">
        <v>3100224</v>
      </c>
      <c r="M133" s="55">
        <v>3028605</v>
      </c>
      <c r="N133" s="55">
        <v>2958358</v>
      </c>
      <c r="O133" s="55">
        <v>2892018</v>
      </c>
      <c r="P133" s="55">
        <v>2831576</v>
      </c>
      <c r="Q133" s="55">
        <v>2778051</v>
      </c>
      <c r="R133" s="55">
        <v>2731074</v>
      </c>
      <c r="S133" s="55">
        <v>2690501</v>
      </c>
      <c r="T133" s="55">
        <v>2656944</v>
      </c>
      <c r="U133" s="55">
        <v>2631154</v>
      </c>
    </row>
    <row r="134" spans="1:21" x14ac:dyDescent="0.3">
      <c r="A134" s="395" t="s">
        <v>325</v>
      </c>
      <c r="B134" s="392"/>
      <c r="C134" s="55">
        <v>113369</v>
      </c>
      <c r="D134" s="55">
        <v>114385</v>
      </c>
      <c r="E134" s="55">
        <v>114817</v>
      </c>
      <c r="F134" s="55">
        <v>114664</v>
      </c>
      <c r="G134" s="55">
        <v>113970</v>
      </c>
      <c r="H134" s="55">
        <v>112855</v>
      </c>
      <c r="I134" s="55">
        <v>111433</v>
      </c>
      <c r="J134" s="55">
        <v>109779</v>
      </c>
      <c r="K134" s="55">
        <v>107929</v>
      </c>
      <c r="L134" s="55">
        <v>105893</v>
      </c>
      <c r="M134" s="55">
        <v>103680</v>
      </c>
      <c r="N134" s="55">
        <v>101334</v>
      </c>
      <c r="O134" s="55">
        <v>98930</v>
      </c>
      <c r="P134" s="55">
        <v>96541</v>
      </c>
      <c r="Q134" s="55">
        <v>94229</v>
      </c>
      <c r="R134" s="55">
        <v>92045</v>
      </c>
      <c r="S134" s="55">
        <v>90051</v>
      </c>
      <c r="T134" s="55">
        <v>88312</v>
      </c>
      <c r="U134" s="55">
        <v>86893</v>
      </c>
    </row>
    <row r="135" spans="1:21" x14ac:dyDescent="0.3">
      <c r="A135" s="395" t="s">
        <v>326</v>
      </c>
      <c r="B135" s="392"/>
      <c r="C135" s="55">
        <v>70499</v>
      </c>
      <c r="D135" s="55">
        <v>68839</v>
      </c>
      <c r="E135" s="55">
        <v>67308</v>
      </c>
      <c r="F135" s="55">
        <v>65971</v>
      </c>
      <c r="G135" s="55">
        <v>64828</v>
      </c>
      <c r="H135" s="55">
        <v>63800</v>
      </c>
      <c r="I135" s="55">
        <v>62823</v>
      </c>
      <c r="J135" s="55">
        <v>61892</v>
      </c>
      <c r="K135" s="55">
        <v>61003</v>
      </c>
      <c r="L135" s="55">
        <v>60149</v>
      </c>
      <c r="M135" s="55">
        <v>59331</v>
      </c>
      <c r="N135" s="55">
        <v>58548</v>
      </c>
      <c r="O135" s="55">
        <v>57800</v>
      </c>
      <c r="P135" s="55">
        <v>57089</v>
      </c>
      <c r="Q135" s="55">
        <v>56418</v>
      </c>
      <c r="R135" s="55">
        <v>55790</v>
      </c>
      <c r="S135" s="55">
        <v>55210</v>
      </c>
      <c r="T135" s="55">
        <v>54682</v>
      </c>
      <c r="U135" s="55">
        <v>54210</v>
      </c>
    </row>
    <row r="136" spans="1:21" x14ac:dyDescent="0.3">
      <c r="A136" s="395" t="s">
        <v>724</v>
      </c>
      <c r="B136" s="392"/>
      <c r="C136" s="55">
        <v>111651</v>
      </c>
      <c r="D136" s="55">
        <v>111276</v>
      </c>
      <c r="E136" s="55">
        <v>111106</v>
      </c>
      <c r="F136" s="55">
        <v>111102</v>
      </c>
      <c r="G136" s="55">
        <v>111117</v>
      </c>
      <c r="H136" s="55">
        <v>110936</v>
      </c>
      <c r="I136" s="55">
        <v>110414</v>
      </c>
      <c r="J136" s="55">
        <v>109531</v>
      </c>
      <c r="K136" s="55">
        <v>108313</v>
      </c>
      <c r="L136" s="55">
        <v>106829</v>
      </c>
      <c r="M136" s="55">
        <v>105219</v>
      </c>
      <c r="N136" s="55">
        <v>103614</v>
      </c>
      <c r="O136" s="55">
        <v>102094</v>
      </c>
      <c r="P136" s="55">
        <v>100714</v>
      </c>
      <c r="Q136" s="55">
        <v>99501</v>
      </c>
      <c r="R136" s="55">
        <v>98440</v>
      </c>
      <c r="S136" s="55">
        <v>97531</v>
      </c>
      <c r="T136" s="55">
        <v>96800</v>
      </c>
      <c r="U136" s="55">
        <v>96284</v>
      </c>
    </row>
    <row r="137" spans="1:21" x14ac:dyDescent="0.3">
      <c r="A137" s="395" t="s">
        <v>328</v>
      </c>
      <c r="B137" s="392"/>
      <c r="C137" s="55">
        <v>90639</v>
      </c>
      <c r="D137" s="55">
        <v>90321</v>
      </c>
      <c r="E137" s="55">
        <v>90362</v>
      </c>
      <c r="F137" s="55">
        <v>90678</v>
      </c>
      <c r="G137" s="55">
        <v>91114</v>
      </c>
      <c r="H137" s="55">
        <v>91474</v>
      </c>
      <c r="I137" s="55">
        <v>91611</v>
      </c>
      <c r="J137" s="55">
        <v>91471</v>
      </c>
      <c r="K137" s="55">
        <v>91049</v>
      </c>
      <c r="L137" s="55">
        <v>90396</v>
      </c>
      <c r="M137" s="55">
        <v>89629</v>
      </c>
      <c r="N137" s="55">
        <v>88844</v>
      </c>
      <c r="O137" s="55">
        <v>88077</v>
      </c>
      <c r="P137" s="55">
        <v>87344</v>
      </c>
      <c r="Q137" s="55">
        <v>86637</v>
      </c>
      <c r="R137" s="55">
        <v>85928</v>
      </c>
      <c r="S137" s="55">
        <v>85201</v>
      </c>
      <c r="T137" s="55">
        <v>84463</v>
      </c>
      <c r="U137" s="55">
        <v>83723</v>
      </c>
    </row>
    <row r="138" spans="1:21" x14ac:dyDescent="0.3">
      <c r="A138" s="395" t="s">
        <v>329</v>
      </c>
      <c r="B138" s="392"/>
      <c r="C138" s="55">
        <v>386646</v>
      </c>
      <c r="D138" s="55">
        <v>382995</v>
      </c>
      <c r="E138" s="55">
        <v>380201</v>
      </c>
      <c r="F138" s="55">
        <v>378153</v>
      </c>
      <c r="G138" s="55">
        <v>376406</v>
      </c>
      <c r="H138" s="55">
        <v>374249</v>
      </c>
      <c r="I138" s="55">
        <v>371158</v>
      </c>
      <c r="J138" s="55">
        <v>367009</v>
      </c>
      <c r="K138" s="55">
        <v>361779</v>
      </c>
      <c r="L138" s="55">
        <v>355595</v>
      </c>
      <c r="M138" s="55">
        <v>348830</v>
      </c>
      <c r="N138" s="55">
        <v>341851</v>
      </c>
      <c r="O138" s="55">
        <v>334882</v>
      </c>
      <c r="P138" s="55">
        <v>328105</v>
      </c>
      <c r="Q138" s="55">
        <v>321631</v>
      </c>
      <c r="R138" s="55">
        <v>315494</v>
      </c>
      <c r="S138" s="55">
        <v>309761</v>
      </c>
      <c r="T138" s="55">
        <v>304549</v>
      </c>
      <c r="U138" s="55">
        <v>299987</v>
      </c>
    </row>
    <row r="139" spans="1:21" x14ac:dyDescent="0.3">
      <c r="A139" s="395" t="s">
        <v>330</v>
      </c>
      <c r="B139" s="392"/>
      <c r="C139" s="55">
        <v>44849</v>
      </c>
      <c r="D139" s="55">
        <v>44378</v>
      </c>
      <c r="E139" s="55">
        <v>43797</v>
      </c>
      <c r="F139" s="55">
        <v>43132</v>
      </c>
      <c r="G139" s="55">
        <v>42409</v>
      </c>
      <c r="H139" s="55">
        <v>41653</v>
      </c>
      <c r="I139" s="55">
        <v>40884</v>
      </c>
      <c r="J139" s="55">
        <v>40119</v>
      </c>
      <c r="K139" s="55">
        <v>39360</v>
      </c>
      <c r="L139" s="55">
        <v>38598</v>
      </c>
      <c r="M139" s="55">
        <v>37818</v>
      </c>
      <c r="N139" s="55">
        <v>37015</v>
      </c>
      <c r="O139" s="55">
        <v>36199</v>
      </c>
      <c r="P139" s="55">
        <v>35381</v>
      </c>
      <c r="Q139" s="55">
        <v>34576</v>
      </c>
      <c r="R139" s="55">
        <v>33801</v>
      </c>
      <c r="S139" s="55">
        <v>33073</v>
      </c>
      <c r="T139" s="55">
        <v>32405</v>
      </c>
      <c r="U139" s="55">
        <v>31808</v>
      </c>
    </row>
    <row r="140" spans="1:21" x14ac:dyDescent="0.3">
      <c r="A140" s="395" t="s">
        <v>208</v>
      </c>
      <c r="B140" s="392"/>
      <c r="C140" s="55">
        <v>205819</v>
      </c>
      <c r="D140" s="55">
        <v>201523</v>
      </c>
      <c r="E140" s="55">
        <v>198053</v>
      </c>
      <c r="F140" s="55">
        <v>195395</v>
      </c>
      <c r="G140" s="55">
        <v>193303</v>
      </c>
      <c r="H140" s="55">
        <v>191330</v>
      </c>
      <c r="I140" s="55">
        <v>189143</v>
      </c>
      <c r="J140" s="55">
        <v>186678</v>
      </c>
      <c r="K140" s="55">
        <v>183956</v>
      </c>
      <c r="L140" s="55">
        <v>181094</v>
      </c>
      <c r="M140" s="55">
        <v>178299</v>
      </c>
      <c r="N140" s="55">
        <v>175742</v>
      </c>
      <c r="O140" s="55">
        <v>173485</v>
      </c>
      <c r="P140" s="55">
        <v>171563</v>
      </c>
      <c r="Q140" s="55">
        <v>169968</v>
      </c>
      <c r="R140" s="55">
        <v>168628</v>
      </c>
      <c r="S140" s="55">
        <v>167476</v>
      </c>
      <c r="T140" s="55">
        <v>166482</v>
      </c>
      <c r="U140" s="55">
        <v>165633</v>
      </c>
    </row>
    <row r="141" spans="1:21" x14ac:dyDescent="0.3">
      <c r="A141" s="395" t="s">
        <v>331</v>
      </c>
      <c r="B141" s="392"/>
      <c r="C141" s="55">
        <v>1852947</v>
      </c>
      <c r="D141" s="55">
        <v>1879256</v>
      </c>
      <c r="E141" s="55">
        <v>1894899</v>
      </c>
      <c r="F141" s="55">
        <v>1898580</v>
      </c>
      <c r="G141" s="55">
        <v>1889738</v>
      </c>
      <c r="H141" s="55">
        <v>1870029</v>
      </c>
      <c r="I141" s="55">
        <v>1841607</v>
      </c>
      <c r="J141" s="55">
        <v>1806235</v>
      </c>
      <c r="K141" s="55">
        <v>1765743</v>
      </c>
      <c r="L141" s="55">
        <v>1721868</v>
      </c>
      <c r="M141" s="55">
        <v>1676466</v>
      </c>
      <c r="N141" s="55">
        <v>1631555</v>
      </c>
      <c r="O141" s="55">
        <v>1589069</v>
      </c>
      <c r="P141" s="55">
        <v>1550525</v>
      </c>
      <c r="Q141" s="55">
        <v>1516696</v>
      </c>
      <c r="R141" s="55">
        <v>1487331</v>
      </c>
      <c r="S141" s="55">
        <v>1462350</v>
      </c>
      <c r="T141" s="55">
        <v>1442264</v>
      </c>
      <c r="U141" s="55">
        <v>1427660</v>
      </c>
    </row>
    <row r="142" spans="1:21" x14ac:dyDescent="0.3">
      <c r="A142" s="395" t="s">
        <v>332</v>
      </c>
      <c r="B142" s="392"/>
      <c r="C142" s="55">
        <v>56926</v>
      </c>
      <c r="D142" s="55">
        <v>57019</v>
      </c>
      <c r="E142" s="55">
        <v>57115</v>
      </c>
      <c r="F142" s="55">
        <v>57182</v>
      </c>
      <c r="G142" s="55">
        <v>57171</v>
      </c>
      <c r="H142" s="55">
        <v>57030</v>
      </c>
      <c r="I142" s="55">
        <v>56728</v>
      </c>
      <c r="J142" s="55">
        <v>56262</v>
      </c>
      <c r="K142" s="55">
        <v>55643</v>
      </c>
      <c r="L142" s="55">
        <v>54895</v>
      </c>
      <c r="M142" s="55">
        <v>54070</v>
      </c>
      <c r="N142" s="55">
        <v>53213</v>
      </c>
      <c r="O142" s="55">
        <v>52356</v>
      </c>
      <c r="P142" s="55">
        <v>51516</v>
      </c>
      <c r="Q142" s="55">
        <v>50702</v>
      </c>
      <c r="R142" s="55">
        <v>49907</v>
      </c>
      <c r="S142" s="55">
        <v>49137</v>
      </c>
      <c r="T142" s="55">
        <v>48406</v>
      </c>
      <c r="U142" s="55">
        <v>47732</v>
      </c>
    </row>
    <row r="143" spans="1:21" x14ac:dyDescent="0.3">
      <c r="A143" s="395" t="s">
        <v>217</v>
      </c>
      <c r="B143" s="392"/>
      <c r="C143" s="55">
        <v>492645</v>
      </c>
      <c r="D143" s="55">
        <v>485524</v>
      </c>
      <c r="E143" s="55">
        <v>475591</v>
      </c>
      <c r="F143" s="55">
        <v>463471</v>
      </c>
      <c r="G143" s="55">
        <v>449861</v>
      </c>
      <c r="H143" s="55">
        <v>435568</v>
      </c>
      <c r="I143" s="55">
        <v>421386</v>
      </c>
      <c r="J143" s="55">
        <v>407952</v>
      </c>
      <c r="K143" s="55">
        <v>395731</v>
      </c>
      <c r="L143" s="55">
        <v>384907</v>
      </c>
      <c r="M143" s="55">
        <v>375263</v>
      </c>
      <c r="N143" s="55">
        <v>366642</v>
      </c>
      <c r="O143" s="55">
        <v>359126</v>
      </c>
      <c r="P143" s="55">
        <v>352798</v>
      </c>
      <c r="Q143" s="55">
        <v>347693</v>
      </c>
      <c r="R143" s="55">
        <v>343710</v>
      </c>
      <c r="S143" s="55">
        <v>340711</v>
      </c>
      <c r="T143" s="55">
        <v>338581</v>
      </c>
      <c r="U143" s="55">
        <v>337224</v>
      </c>
    </row>
    <row r="144" spans="1:21" x14ac:dyDescent="0.3">
      <c r="A144" s="396" t="s">
        <v>333</v>
      </c>
      <c r="B144" s="392"/>
      <c r="C144" s="55">
        <v>1243038</v>
      </c>
      <c r="D144" s="55">
        <v>1237611</v>
      </c>
      <c r="E144" s="55">
        <v>1229812</v>
      </c>
      <c r="F144" s="55">
        <v>1220884</v>
      </c>
      <c r="G144" s="55">
        <v>1212104</v>
      </c>
      <c r="H144" s="55">
        <v>1204295</v>
      </c>
      <c r="I144" s="55">
        <v>1198016</v>
      </c>
      <c r="J144" s="55">
        <v>1193561</v>
      </c>
      <c r="K144" s="55">
        <v>1190717</v>
      </c>
      <c r="L144" s="55">
        <v>1188806</v>
      </c>
      <c r="M144" s="55">
        <v>1186797</v>
      </c>
      <c r="N144" s="55">
        <v>1183930</v>
      </c>
      <c r="O144" s="55">
        <v>1180017</v>
      </c>
      <c r="P144" s="55">
        <v>1175022</v>
      </c>
      <c r="Q144" s="55">
        <v>1169135</v>
      </c>
      <c r="R144" s="55">
        <v>1162921</v>
      </c>
      <c r="S144" s="55">
        <v>1156939</v>
      </c>
      <c r="T144" s="55">
        <v>1151527</v>
      </c>
      <c r="U144" s="55">
        <v>1147052</v>
      </c>
    </row>
    <row r="145" spans="1:21" x14ac:dyDescent="0.3">
      <c r="A145" s="395" t="s">
        <v>334</v>
      </c>
      <c r="B145" s="392"/>
      <c r="C145" s="55">
        <v>1708</v>
      </c>
      <c r="D145" s="55">
        <v>1703</v>
      </c>
      <c r="E145" s="55">
        <v>1696</v>
      </c>
      <c r="F145" s="55">
        <v>1688</v>
      </c>
      <c r="G145" s="55">
        <v>1682</v>
      </c>
      <c r="H145" s="55">
        <v>1679</v>
      </c>
      <c r="I145" s="55">
        <v>1681</v>
      </c>
      <c r="J145" s="55">
        <v>1687</v>
      </c>
      <c r="K145" s="55">
        <v>1697</v>
      </c>
      <c r="L145" s="55">
        <v>1709</v>
      </c>
      <c r="M145" s="55">
        <v>1721</v>
      </c>
      <c r="N145" s="55">
        <v>1732</v>
      </c>
      <c r="O145" s="55">
        <v>1739</v>
      </c>
      <c r="P145" s="55">
        <v>1744</v>
      </c>
      <c r="Q145" s="55">
        <v>1747</v>
      </c>
      <c r="R145" s="55">
        <v>1747</v>
      </c>
      <c r="S145" s="55">
        <v>1747</v>
      </c>
      <c r="T145" s="55">
        <v>1746</v>
      </c>
      <c r="U145" s="55">
        <v>1745</v>
      </c>
    </row>
    <row r="146" spans="1:21" x14ac:dyDescent="0.3">
      <c r="A146" s="395" t="s">
        <v>335</v>
      </c>
      <c r="B146" s="392"/>
      <c r="C146" s="55">
        <v>59465</v>
      </c>
      <c r="D146" s="55">
        <v>58993</v>
      </c>
      <c r="E146" s="55">
        <v>58899</v>
      </c>
      <c r="F146" s="55">
        <v>59184</v>
      </c>
      <c r="G146" s="55">
        <v>59797</v>
      </c>
      <c r="H146" s="55">
        <v>60607</v>
      </c>
      <c r="I146" s="55">
        <v>61494</v>
      </c>
      <c r="J146" s="55">
        <v>62394</v>
      </c>
      <c r="K146" s="55">
        <v>63256</v>
      </c>
      <c r="L146" s="55">
        <v>64059</v>
      </c>
      <c r="M146" s="55">
        <v>64805.000000000007</v>
      </c>
      <c r="N146" s="55">
        <v>65494</v>
      </c>
      <c r="O146" s="55">
        <v>66102</v>
      </c>
      <c r="P146" s="55">
        <v>66603</v>
      </c>
      <c r="Q146" s="55">
        <v>66984</v>
      </c>
      <c r="R146" s="55">
        <v>67248</v>
      </c>
      <c r="S146" s="55">
        <v>67403</v>
      </c>
      <c r="T146" s="55">
        <v>67454</v>
      </c>
      <c r="U146" s="55">
        <v>67406</v>
      </c>
    </row>
    <row r="147" spans="1:21" x14ac:dyDescent="0.3">
      <c r="A147" s="395" t="s">
        <v>336</v>
      </c>
      <c r="B147" s="392"/>
      <c r="C147" s="55">
        <v>14554</v>
      </c>
      <c r="D147" s="55">
        <v>14299</v>
      </c>
      <c r="E147" s="55">
        <v>14085</v>
      </c>
      <c r="F147" s="55">
        <v>13922</v>
      </c>
      <c r="G147" s="55">
        <v>13807</v>
      </c>
      <c r="H147" s="55">
        <v>13714</v>
      </c>
      <c r="I147" s="55">
        <v>13621</v>
      </c>
      <c r="J147" s="55">
        <v>13521</v>
      </c>
      <c r="K147" s="55">
        <v>13402</v>
      </c>
      <c r="L147" s="55">
        <v>13258</v>
      </c>
      <c r="M147" s="55">
        <v>13086</v>
      </c>
      <c r="N147" s="55">
        <v>12888</v>
      </c>
      <c r="O147" s="55">
        <v>12669</v>
      </c>
      <c r="P147" s="55">
        <v>12432</v>
      </c>
      <c r="Q147" s="55">
        <v>12185</v>
      </c>
      <c r="R147" s="55">
        <v>11938</v>
      </c>
      <c r="S147" s="55">
        <v>11702</v>
      </c>
      <c r="T147" s="55">
        <v>11488</v>
      </c>
      <c r="U147" s="55">
        <v>11302</v>
      </c>
    </row>
    <row r="148" spans="1:21" x14ac:dyDescent="0.3">
      <c r="A148" s="395" t="s">
        <v>337</v>
      </c>
      <c r="B148" s="392"/>
      <c r="C148" s="55">
        <v>58717</v>
      </c>
      <c r="D148" s="55">
        <v>57766</v>
      </c>
      <c r="E148" s="55">
        <v>56593</v>
      </c>
      <c r="F148" s="55">
        <v>55261</v>
      </c>
      <c r="G148" s="55">
        <v>53853</v>
      </c>
      <c r="H148" s="55">
        <v>52460</v>
      </c>
      <c r="I148" s="55">
        <v>51168</v>
      </c>
      <c r="J148" s="55">
        <v>50035</v>
      </c>
      <c r="K148" s="55">
        <v>49106</v>
      </c>
      <c r="L148" s="55">
        <v>48394</v>
      </c>
      <c r="M148" s="55">
        <v>47863</v>
      </c>
      <c r="N148" s="55">
        <v>47476</v>
      </c>
      <c r="O148" s="55">
        <v>47223</v>
      </c>
      <c r="P148" s="55">
        <v>47093</v>
      </c>
      <c r="Q148" s="55">
        <v>47073</v>
      </c>
      <c r="R148" s="55">
        <v>47143</v>
      </c>
      <c r="S148" s="55">
        <v>47279</v>
      </c>
      <c r="T148" s="55">
        <v>47459</v>
      </c>
      <c r="U148" s="55">
        <v>47668</v>
      </c>
    </row>
    <row r="149" spans="1:21" x14ac:dyDescent="0.3">
      <c r="A149" s="395" t="s">
        <v>338</v>
      </c>
      <c r="B149" s="392"/>
      <c r="C149" s="55">
        <v>4529</v>
      </c>
      <c r="D149" s="55">
        <v>4453</v>
      </c>
      <c r="E149" s="55">
        <v>4368</v>
      </c>
      <c r="F149" s="55">
        <v>4282</v>
      </c>
      <c r="G149" s="55">
        <v>4201</v>
      </c>
      <c r="H149" s="55">
        <v>4131</v>
      </c>
      <c r="I149" s="55">
        <v>4075</v>
      </c>
      <c r="J149" s="55">
        <v>4033.0000000000005</v>
      </c>
      <c r="K149" s="55">
        <v>4006</v>
      </c>
      <c r="L149" s="55">
        <v>3990</v>
      </c>
      <c r="M149" s="55">
        <v>3979</v>
      </c>
      <c r="N149" s="55">
        <v>3968</v>
      </c>
      <c r="O149" s="55">
        <v>3956</v>
      </c>
      <c r="P149" s="55">
        <v>3940</v>
      </c>
      <c r="Q149" s="55">
        <v>3923</v>
      </c>
      <c r="R149" s="55">
        <v>3906</v>
      </c>
      <c r="S149" s="55">
        <v>3890</v>
      </c>
      <c r="T149" s="55">
        <v>3876</v>
      </c>
      <c r="U149" s="55">
        <v>3864</v>
      </c>
    </row>
    <row r="150" spans="1:21" x14ac:dyDescent="0.3">
      <c r="A150" s="395" t="s">
        <v>339</v>
      </c>
      <c r="B150" s="392"/>
      <c r="C150" s="55">
        <v>71141</v>
      </c>
      <c r="D150" s="55">
        <v>70039</v>
      </c>
      <c r="E150" s="55">
        <v>68642</v>
      </c>
      <c r="F150" s="55">
        <v>67050</v>
      </c>
      <c r="G150" s="55">
        <v>65366</v>
      </c>
      <c r="H150" s="55">
        <v>63677</v>
      </c>
      <c r="I150" s="55">
        <v>62068</v>
      </c>
      <c r="J150" s="55">
        <v>60606</v>
      </c>
      <c r="K150" s="55">
        <v>59325</v>
      </c>
      <c r="L150" s="55">
        <v>58218</v>
      </c>
      <c r="M150" s="55">
        <v>57238</v>
      </c>
      <c r="N150" s="55">
        <v>56352</v>
      </c>
      <c r="O150" s="55">
        <v>55571</v>
      </c>
      <c r="P150" s="55">
        <v>54916</v>
      </c>
      <c r="Q150" s="55">
        <v>54413</v>
      </c>
      <c r="R150" s="55">
        <v>54077</v>
      </c>
      <c r="S150" s="55">
        <v>53915</v>
      </c>
      <c r="T150" s="55">
        <v>53921</v>
      </c>
      <c r="U150" s="55">
        <v>54091</v>
      </c>
    </row>
    <row r="151" spans="1:21" x14ac:dyDescent="0.3">
      <c r="A151" s="395" t="s">
        <v>340</v>
      </c>
      <c r="B151" s="392"/>
      <c r="C151" s="55">
        <v>21395</v>
      </c>
      <c r="D151" s="55">
        <v>21167</v>
      </c>
      <c r="E151" s="55">
        <v>21029</v>
      </c>
      <c r="F151" s="55">
        <v>20954</v>
      </c>
      <c r="G151" s="55">
        <v>20886</v>
      </c>
      <c r="H151" s="55">
        <v>20755</v>
      </c>
      <c r="I151" s="55">
        <v>20512</v>
      </c>
      <c r="J151" s="55">
        <v>20145</v>
      </c>
      <c r="K151" s="55">
        <v>19658</v>
      </c>
      <c r="L151" s="55">
        <v>19073</v>
      </c>
      <c r="M151" s="55">
        <v>18439</v>
      </c>
      <c r="N151" s="55">
        <v>17802</v>
      </c>
      <c r="O151" s="55">
        <v>17187</v>
      </c>
      <c r="P151" s="55">
        <v>16612</v>
      </c>
      <c r="Q151" s="55">
        <v>16082.999999999998</v>
      </c>
      <c r="R151" s="55">
        <v>15598</v>
      </c>
      <c r="S151" s="55">
        <v>15156</v>
      </c>
      <c r="T151" s="55">
        <v>14767</v>
      </c>
      <c r="U151" s="55">
        <v>14442</v>
      </c>
    </row>
    <row r="152" spans="1:21" x14ac:dyDescent="0.3">
      <c r="A152" s="395" t="s">
        <v>341</v>
      </c>
      <c r="B152" s="392"/>
      <c r="C152" s="55">
        <v>31602</v>
      </c>
      <c r="D152" s="55">
        <v>31396</v>
      </c>
      <c r="E152" s="55">
        <v>31082</v>
      </c>
      <c r="F152" s="55">
        <v>30665</v>
      </c>
      <c r="G152" s="55">
        <v>30161</v>
      </c>
      <c r="H152" s="55">
        <v>29599</v>
      </c>
      <c r="I152" s="55">
        <v>29002</v>
      </c>
      <c r="J152" s="55">
        <v>28386</v>
      </c>
      <c r="K152" s="55">
        <v>27758</v>
      </c>
      <c r="L152" s="55">
        <v>27118</v>
      </c>
      <c r="M152" s="55">
        <v>26461</v>
      </c>
      <c r="N152" s="55">
        <v>25787</v>
      </c>
      <c r="O152" s="55">
        <v>25101</v>
      </c>
      <c r="P152" s="55">
        <v>24407</v>
      </c>
      <c r="Q152" s="55">
        <v>23704</v>
      </c>
      <c r="R152" s="55">
        <v>22997</v>
      </c>
      <c r="S152" s="55">
        <v>22300</v>
      </c>
      <c r="T152" s="55">
        <v>21629</v>
      </c>
      <c r="U152" s="55">
        <v>21004</v>
      </c>
    </row>
    <row r="153" spans="1:21" x14ac:dyDescent="0.3">
      <c r="A153" s="395" t="s">
        <v>342</v>
      </c>
      <c r="B153" s="392"/>
      <c r="C153" s="55">
        <v>59850</v>
      </c>
      <c r="D153" s="55">
        <v>59562</v>
      </c>
      <c r="E153" s="55">
        <v>59266</v>
      </c>
      <c r="F153" s="55">
        <v>59029</v>
      </c>
      <c r="G153" s="55">
        <v>58916</v>
      </c>
      <c r="H153" s="55">
        <v>58957</v>
      </c>
      <c r="I153" s="55">
        <v>59162</v>
      </c>
      <c r="J153" s="55">
        <v>59529</v>
      </c>
      <c r="K153" s="55">
        <v>60032</v>
      </c>
      <c r="L153" s="55">
        <v>60624</v>
      </c>
      <c r="M153" s="55">
        <v>61240</v>
      </c>
      <c r="N153" s="55">
        <v>61822</v>
      </c>
      <c r="O153" s="55">
        <v>62341</v>
      </c>
      <c r="P153" s="55">
        <v>62779</v>
      </c>
      <c r="Q153" s="55">
        <v>63137</v>
      </c>
      <c r="R153" s="55">
        <v>63440</v>
      </c>
      <c r="S153" s="55">
        <v>63711</v>
      </c>
      <c r="T153" s="55">
        <v>63954</v>
      </c>
      <c r="U153" s="55">
        <v>64175</v>
      </c>
    </row>
    <row r="154" spans="1:21" x14ac:dyDescent="0.3">
      <c r="A154" s="395" t="s">
        <v>343</v>
      </c>
      <c r="B154" s="392"/>
      <c r="C154" s="55">
        <v>114602</v>
      </c>
      <c r="D154" s="55">
        <v>115332</v>
      </c>
      <c r="E154" s="55">
        <v>116010</v>
      </c>
      <c r="F154" s="55">
        <v>116674</v>
      </c>
      <c r="G154" s="55">
        <v>117349</v>
      </c>
      <c r="H154" s="55">
        <v>118014</v>
      </c>
      <c r="I154" s="55">
        <v>118639</v>
      </c>
      <c r="J154" s="55">
        <v>119202</v>
      </c>
      <c r="K154" s="55">
        <v>119651</v>
      </c>
      <c r="L154" s="55">
        <v>119921</v>
      </c>
      <c r="M154" s="55">
        <v>119974</v>
      </c>
      <c r="N154" s="55">
        <v>119798</v>
      </c>
      <c r="O154" s="55">
        <v>119405</v>
      </c>
      <c r="P154" s="55">
        <v>118821</v>
      </c>
      <c r="Q154" s="55">
        <v>118082</v>
      </c>
      <c r="R154" s="55">
        <v>117266</v>
      </c>
      <c r="S154" s="55">
        <v>116451</v>
      </c>
      <c r="T154" s="55">
        <v>115702</v>
      </c>
      <c r="U154" s="55">
        <v>115083</v>
      </c>
    </row>
    <row r="155" spans="1:21" x14ac:dyDescent="0.3">
      <c r="A155" s="395" t="s">
        <v>344</v>
      </c>
      <c r="B155" s="392"/>
      <c r="C155" s="55">
        <v>804032</v>
      </c>
      <c r="D155" s="55">
        <v>801481</v>
      </c>
      <c r="E155" s="55">
        <v>796744</v>
      </c>
      <c r="F155" s="55">
        <v>790793</v>
      </c>
      <c r="G155" s="55">
        <v>784714</v>
      </c>
      <c r="H155" s="55">
        <v>779333</v>
      </c>
      <c r="I155" s="55">
        <v>775221</v>
      </c>
      <c r="J155" s="55">
        <v>772640</v>
      </c>
      <c r="K155" s="55">
        <v>771427</v>
      </c>
      <c r="L155" s="55">
        <v>771021</v>
      </c>
      <c r="M155" s="55">
        <v>770545</v>
      </c>
      <c r="N155" s="55">
        <v>769340</v>
      </c>
      <c r="O155" s="55">
        <v>767227</v>
      </c>
      <c r="P155" s="55">
        <v>764156</v>
      </c>
      <c r="Q155" s="55">
        <v>760264</v>
      </c>
      <c r="R155" s="55">
        <v>756004</v>
      </c>
      <c r="S155" s="55">
        <v>751813</v>
      </c>
      <c r="T155" s="55">
        <v>747948</v>
      </c>
      <c r="U155" s="55">
        <v>744681</v>
      </c>
    </row>
    <row r="156" spans="1:21" x14ac:dyDescent="0.3">
      <c r="A156" s="396" t="s">
        <v>345</v>
      </c>
      <c r="B156" s="392"/>
      <c r="C156" s="55">
        <v>1445092</v>
      </c>
      <c r="D156" s="55">
        <v>1407967</v>
      </c>
      <c r="E156" s="55">
        <v>1371516</v>
      </c>
      <c r="F156" s="55">
        <v>1337132</v>
      </c>
      <c r="G156" s="55">
        <v>1305461</v>
      </c>
      <c r="H156" s="55">
        <v>1276118</v>
      </c>
      <c r="I156" s="55">
        <v>1248876</v>
      </c>
      <c r="J156" s="55">
        <v>1224109</v>
      </c>
      <c r="K156" s="55">
        <v>1202058</v>
      </c>
      <c r="L156" s="55">
        <v>1182738</v>
      </c>
      <c r="M156" s="55">
        <v>1165843</v>
      </c>
      <c r="N156" s="55">
        <v>1151088</v>
      </c>
      <c r="O156" s="55">
        <v>1138377</v>
      </c>
      <c r="P156" s="55">
        <v>1127703</v>
      </c>
      <c r="Q156" s="55">
        <v>1119089</v>
      </c>
      <c r="R156" s="55">
        <v>1112457</v>
      </c>
      <c r="S156" s="55">
        <v>1107619</v>
      </c>
      <c r="T156" s="55">
        <v>1104333</v>
      </c>
      <c r="U156" s="55">
        <v>1102399</v>
      </c>
    </row>
    <row r="157" spans="1:21" x14ac:dyDescent="0.3">
      <c r="A157" s="395" t="s">
        <v>160</v>
      </c>
      <c r="B157" s="392"/>
      <c r="C157" s="55">
        <v>35699</v>
      </c>
      <c r="D157" s="55">
        <v>35721</v>
      </c>
      <c r="E157" s="55">
        <v>35605</v>
      </c>
      <c r="F157" s="55">
        <v>35328</v>
      </c>
      <c r="G157" s="55">
        <v>34913</v>
      </c>
      <c r="H157" s="55">
        <v>34430</v>
      </c>
      <c r="I157" s="55">
        <v>33931</v>
      </c>
      <c r="J157" s="55">
        <v>33421</v>
      </c>
      <c r="K157" s="55">
        <v>32888</v>
      </c>
      <c r="L157" s="55">
        <v>32311</v>
      </c>
      <c r="M157" s="55">
        <v>31668</v>
      </c>
      <c r="N157" s="55">
        <v>30950</v>
      </c>
      <c r="O157" s="55">
        <v>30161</v>
      </c>
      <c r="P157" s="55">
        <v>29311</v>
      </c>
      <c r="Q157" s="55">
        <v>28417</v>
      </c>
      <c r="R157" s="55">
        <v>27506</v>
      </c>
      <c r="S157" s="55">
        <v>26606</v>
      </c>
      <c r="T157" s="55">
        <v>25739</v>
      </c>
      <c r="U157" s="55">
        <v>24926</v>
      </c>
    </row>
    <row r="158" spans="1:21" x14ac:dyDescent="0.3">
      <c r="A158" s="395" t="s">
        <v>346</v>
      </c>
      <c r="B158" s="392"/>
      <c r="C158" s="55">
        <v>32610</v>
      </c>
      <c r="D158" s="55">
        <v>31786</v>
      </c>
      <c r="E158" s="55">
        <v>30886</v>
      </c>
      <c r="F158" s="55">
        <v>29939</v>
      </c>
      <c r="G158" s="55">
        <v>28975</v>
      </c>
      <c r="H158" s="55">
        <v>28029</v>
      </c>
      <c r="I158" s="55">
        <v>27133</v>
      </c>
      <c r="J158" s="55">
        <v>26311</v>
      </c>
      <c r="K158" s="55">
        <v>25586</v>
      </c>
      <c r="L158" s="55">
        <v>24967</v>
      </c>
      <c r="M158" s="55">
        <v>24442</v>
      </c>
      <c r="N158" s="55">
        <v>23998</v>
      </c>
      <c r="O158" s="55">
        <v>23631</v>
      </c>
      <c r="P158" s="55">
        <v>23337</v>
      </c>
      <c r="Q158" s="55">
        <v>23109</v>
      </c>
      <c r="R158" s="55">
        <v>22935</v>
      </c>
      <c r="S158" s="55">
        <v>22801</v>
      </c>
      <c r="T158" s="55">
        <v>22696</v>
      </c>
      <c r="U158" s="55">
        <v>22610</v>
      </c>
    </row>
    <row r="159" spans="1:21" x14ac:dyDescent="0.3">
      <c r="A159" s="395" t="s">
        <v>347</v>
      </c>
      <c r="B159" s="392"/>
      <c r="C159" s="55">
        <v>41501</v>
      </c>
      <c r="D159" s="55">
        <v>40736</v>
      </c>
      <c r="E159" s="55">
        <v>39951</v>
      </c>
      <c r="F159" s="55">
        <v>39167</v>
      </c>
      <c r="G159" s="55">
        <v>38391</v>
      </c>
      <c r="H159" s="55">
        <v>37614</v>
      </c>
      <c r="I159" s="55">
        <v>36837</v>
      </c>
      <c r="J159" s="55">
        <v>36074</v>
      </c>
      <c r="K159" s="55">
        <v>35341</v>
      </c>
      <c r="L159" s="55">
        <v>34650</v>
      </c>
      <c r="M159" s="55">
        <v>34008</v>
      </c>
      <c r="N159" s="55">
        <v>33419</v>
      </c>
      <c r="O159" s="55">
        <v>32886</v>
      </c>
      <c r="P159" s="55">
        <v>32409.999999999996</v>
      </c>
      <c r="Q159" s="55">
        <v>31987</v>
      </c>
      <c r="R159" s="55">
        <v>31609</v>
      </c>
      <c r="S159" s="55">
        <v>31264</v>
      </c>
      <c r="T159" s="55">
        <v>30948</v>
      </c>
      <c r="U159" s="55">
        <v>30656</v>
      </c>
    </row>
    <row r="160" spans="1:21" x14ac:dyDescent="0.3">
      <c r="A160" s="395" t="s">
        <v>348</v>
      </c>
      <c r="B160" s="392"/>
      <c r="C160" s="55">
        <v>98858</v>
      </c>
      <c r="D160" s="55">
        <v>95394</v>
      </c>
      <c r="E160" s="55">
        <v>92115</v>
      </c>
      <c r="F160" s="55">
        <v>89090</v>
      </c>
      <c r="G160" s="55">
        <v>86303</v>
      </c>
      <c r="H160" s="55">
        <v>83655</v>
      </c>
      <c r="I160" s="55">
        <v>81081</v>
      </c>
      <c r="J160" s="55">
        <v>78607</v>
      </c>
      <c r="K160" s="55">
        <v>76268</v>
      </c>
      <c r="L160" s="55">
        <v>74105</v>
      </c>
      <c r="M160" s="55">
        <v>72160</v>
      </c>
      <c r="N160" s="55">
        <v>70466</v>
      </c>
      <c r="O160" s="55">
        <v>69048</v>
      </c>
      <c r="P160" s="55">
        <v>67937</v>
      </c>
      <c r="Q160" s="55">
        <v>67152</v>
      </c>
      <c r="R160" s="55">
        <v>66669</v>
      </c>
      <c r="S160" s="55">
        <v>66451</v>
      </c>
      <c r="T160" s="55">
        <v>66464</v>
      </c>
      <c r="U160" s="55">
        <v>66674</v>
      </c>
    </row>
    <row r="161" spans="1:21" x14ac:dyDescent="0.3">
      <c r="A161" s="395" t="s">
        <v>349</v>
      </c>
      <c r="B161" s="392"/>
      <c r="C161" s="55">
        <v>536428</v>
      </c>
      <c r="D161" s="55">
        <v>523421.00000000006</v>
      </c>
      <c r="E161" s="55">
        <v>509624</v>
      </c>
      <c r="F161" s="55">
        <v>495649</v>
      </c>
      <c r="G161" s="55">
        <v>482018</v>
      </c>
      <c r="H161" s="55">
        <v>469085</v>
      </c>
      <c r="I161" s="55">
        <v>457198</v>
      </c>
      <c r="J161" s="55">
        <v>446715</v>
      </c>
      <c r="K161" s="55">
        <v>437905</v>
      </c>
      <c r="L161" s="55">
        <v>430854</v>
      </c>
      <c r="M161" s="55">
        <v>425318</v>
      </c>
      <c r="N161" s="55">
        <v>421048</v>
      </c>
      <c r="O161" s="55">
        <v>417941</v>
      </c>
      <c r="P161" s="55">
        <v>415905</v>
      </c>
      <c r="Q161" s="55">
        <v>414848</v>
      </c>
      <c r="R161" s="55">
        <v>414617</v>
      </c>
      <c r="S161" s="55">
        <v>415018</v>
      </c>
      <c r="T161" s="55">
        <v>415861</v>
      </c>
      <c r="U161" s="55">
        <v>416991</v>
      </c>
    </row>
    <row r="162" spans="1:21" x14ac:dyDescent="0.3">
      <c r="A162" s="395" t="s">
        <v>350</v>
      </c>
      <c r="B162" s="392"/>
      <c r="C162" s="55">
        <v>4035.9999999999995</v>
      </c>
      <c r="D162" s="55">
        <v>4089.0000000000005</v>
      </c>
      <c r="E162" s="55">
        <v>4143</v>
      </c>
      <c r="F162" s="55">
        <v>4195</v>
      </c>
      <c r="G162" s="55">
        <v>4241</v>
      </c>
      <c r="H162" s="55">
        <v>4280</v>
      </c>
      <c r="I162" s="55">
        <v>4311</v>
      </c>
      <c r="J162" s="55">
        <v>4331</v>
      </c>
      <c r="K162" s="55">
        <v>4341</v>
      </c>
      <c r="L162" s="55">
        <v>4338</v>
      </c>
      <c r="M162" s="55">
        <v>4326</v>
      </c>
      <c r="N162" s="55">
        <v>4304</v>
      </c>
      <c r="O162" s="55">
        <v>4275</v>
      </c>
      <c r="P162" s="55">
        <v>4238</v>
      </c>
      <c r="Q162" s="55">
        <v>4194</v>
      </c>
      <c r="R162" s="55">
        <v>4143</v>
      </c>
      <c r="S162" s="55">
        <v>4088</v>
      </c>
      <c r="T162" s="55">
        <v>4029</v>
      </c>
      <c r="U162" s="55">
        <v>3969</v>
      </c>
    </row>
    <row r="163" spans="1:21" x14ac:dyDescent="0.3">
      <c r="A163" s="395" t="s">
        <v>351</v>
      </c>
      <c r="B163" s="392"/>
      <c r="C163" s="55">
        <v>7579</v>
      </c>
      <c r="D163" s="55">
        <v>7503</v>
      </c>
      <c r="E163" s="55">
        <v>7451</v>
      </c>
      <c r="F163" s="55">
        <v>7422</v>
      </c>
      <c r="G163" s="55">
        <v>7405</v>
      </c>
      <c r="H163" s="55">
        <v>7390</v>
      </c>
      <c r="I163" s="55">
        <v>7365</v>
      </c>
      <c r="J163" s="55">
        <v>7327</v>
      </c>
      <c r="K163" s="55">
        <v>7275</v>
      </c>
      <c r="L163" s="55">
        <v>7211</v>
      </c>
      <c r="M163" s="55">
        <v>7140</v>
      </c>
      <c r="N163" s="55">
        <v>7068</v>
      </c>
      <c r="O163" s="55">
        <v>6997</v>
      </c>
      <c r="P163" s="55">
        <v>6928</v>
      </c>
      <c r="Q163" s="55">
        <v>6861</v>
      </c>
      <c r="R163" s="55">
        <v>6796</v>
      </c>
      <c r="S163" s="55">
        <v>6732</v>
      </c>
      <c r="T163" s="55">
        <v>6669</v>
      </c>
      <c r="U163" s="55">
        <v>6607</v>
      </c>
    </row>
    <row r="164" spans="1:21" x14ac:dyDescent="0.3">
      <c r="A164" s="395" t="s">
        <v>352</v>
      </c>
      <c r="B164" s="392"/>
      <c r="C164" s="55">
        <v>90518</v>
      </c>
      <c r="D164" s="55">
        <v>88077</v>
      </c>
      <c r="E164" s="55">
        <v>85883</v>
      </c>
      <c r="F164" s="55">
        <v>83986</v>
      </c>
      <c r="G164" s="55">
        <v>82404</v>
      </c>
      <c r="H164" s="55">
        <v>81097</v>
      </c>
      <c r="I164" s="55">
        <v>80023</v>
      </c>
      <c r="J164" s="55">
        <v>79161</v>
      </c>
      <c r="K164" s="55">
        <v>78491</v>
      </c>
      <c r="L164" s="55">
        <v>77986</v>
      </c>
      <c r="M164" s="55">
        <v>77616</v>
      </c>
      <c r="N164" s="55">
        <v>77348</v>
      </c>
      <c r="O164" s="55">
        <v>77152</v>
      </c>
      <c r="P164" s="55">
        <v>77012</v>
      </c>
      <c r="Q164" s="55">
        <v>76922</v>
      </c>
      <c r="R164" s="55">
        <v>76886</v>
      </c>
      <c r="S164" s="55">
        <v>76895</v>
      </c>
      <c r="T164" s="55">
        <v>76928</v>
      </c>
      <c r="U164" s="55">
        <v>76965</v>
      </c>
    </row>
    <row r="165" spans="1:21" x14ac:dyDescent="0.3">
      <c r="A165" s="395" t="s">
        <v>353</v>
      </c>
      <c r="B165" s="392"/>
      <c r="C165" s="55">
        <v>88854</v>
      </c>
      <c r="D165" s="55">
        <v>87383</v>
      </c>
      <c r="E165" s="55">
        <v>86248</v>
      </c>
      <c r="F165" s="55">
        <v>85381</v>
      </c>
      <c r="G165" s="55">
        <v>84668</v>
      </c>
      <c r="H165" s="55">
        <v>83974</v>
      </c>
      <c r="I165" s="55">
        <v>83192</v>
      </c>
      <c r="J165" s="55">
        <v>82276</v>
      </c>
      <c r="K165" s="55">
        <v>81208</v>
      </c>
      <c r="L165" s="55">
        <v>80014</v>
      </c>
      <c r="M165" s="55">
        <v>78770</v>
      </c>
      <c r="N165" s="55">
        <v>77546</v>
      </c>
      <c r="O165" s="55">
        <v>76367</v>
      </c>
      <c r="P165" s="55">
        <v>75256</v>
      </c>
      <c r="Q165" s="55">
        <v>74226</v>
      </c>
      <c r="R165" s="55">
        <v>73270</v>
      </c>
      <c r="S165" s="55">
        <v>72380</v>
      </c>
      <c r="T165" s="55">
        <v>71553</v>
      </c>
      <c r="U165" s="55">
        <v>70787</v>
      </c>
    </row>
    <row r="166" spans="1:21" x14ac:dyDescent="0.3">
      <c r="A166" s="395" t="s">
        <v>354</v>
      </c>
      <c r="B166" s="392"/>
      <c r="C166" s="55">
        <v>21521</v>
      </c>
      <c r="D166" s="55">
        <v>21459</v>
      </c>
      <c r="E166" s="55">
        <v>21303</v>
      </c>
      <c r="F166" s="55">
        <v>21067</v>
      </c>
      <c r="G166" s="55">
        <v>20768</v>
      </c>
      <c r="H166" s="55">
        <v>20429</v>
      </c>
      <c r="I166" s="55">
        <v>20071</v>
      </c>
      <c r="J166" s="55">
        <v>19711</v>
      </c>
      <c r="K166" s="55">
        <v>19361</v>
      </c>
      <c r="L166" s="55">
        <v>19022</v>
      </c>
      <c r="M166" s="55">
        <v>18690</v>
      </c>
      <c r="N166" s="55">
        <v>18365</v>
      </c>
      <c r="O166" s="55">
        <v>18055</v>
      </c>
      <c r="P166" s="55">
        <v>17770</v>
      </c>
      <c r="Q166" s="55">
        <v>17516</v>
      </c>
      <c r="R166" s="55">
        <v>17299</v>
      </c>
      <c r="S166" s="55">
        <v>17122</v>
      </c>
      <c r="T166" s="55">
        <v>16989</v>
      </c>
      <c r="U166" s="55">
        <v>16905</v>
      </c>
    </row>
    <row r="167" spans="1:21" x14ac:dyDescent="0.3">
      <c r="A167" s="395" t="s">
        <v>355</v>
      </c>
      <c r="B167" s="392"/>
      <c r="C167" s="55">
        <v>462749</v>
      </c>
      <c r="D167" s="55">
        <v>447631</v>
      </c>
      <c r="E167" s="55">
        <v>433585</v>
      </c>
      <c r="F167" s="55">
        <v>421321</v>
      </c>
      <c r="G167" s="55">
        <v>411009</v>
      </c>
      <c r="H167" s="55">
        <v>402058</v>
      </c>
      <c r="I167" s="55">
        <v>393989</v>
      </c>
      <c r="J167" s="55">
        <v>386793</v>
      </c>
      <c r="K167" s="55">
        <v>380395</v>
      </c>
      <c r="L167" s="55">
        <v>374674</v>
      </c>
      <c r="M167" s="55">
        <v>369493</v>
      </c>
      <c r="N167" s="55">
        <v>364749</v>
      </c>
      <c r="O167" s="55">
        <v>360408</v>
      </c>
      <c r="P167" s="55">
        <v>356494</v>
      </c>
      <c r="Q167" s="55">
        <v>353084</v>
      </c>
      <c r="R167" s="55">
        <v>350271</v>
      </c>
      <c r="S167" s="55">
        <v>348111</v>
      </c>
      <c r="T167" s="55">
        <v>346597</v>
      </c>
      <c r="U167" s="55">
        <v>345729</v>
      </c>
    </row>
    <row r="168" spans="1:21" x14ac:dyDescent="0.3">
      <c r="A168" s="395" t="s">
        <v>873</v>
      </c>
      <c r="B168" s="392"/>
      <c r="C168" s="55">
        <v>23239</v>
      </c>
      <c r="D168" s="55">
        <v>23306</v>
      </c>
      <c r="E168" s="55">
        <v>23304</v>
      </c>
      <c r="F168" s="55">
        <v>23216</v>
      </c>
      <c r="G168" s="55">
        <v>23040</v>
      </c>
      <c r="H168" s="55">
        <v>22796</v>
      </c>
      <c r="I168" s="55">
        <v>22506</v>
      </c>
      <c r="J168" s="55">
        <v>22179</v>
      </c>
      <c r="K168" s="55">
        <v>21827</v>
      </c>
      <c r="L168" s="55">
        <v>21459</v>
      </c>
      <c r="M168" s="55">
        <v>21086</v>
      </c>
      <c r="N168" s="55">
        <v>20716</v>
      </c>
      <c r="O168" s="55">
        <v>20357</v>
      </c>
      <c r="P168" s="55">
        <v>20014</v>
      </c>
      <c r="Q168" s="55">
        <v>19686</v>
      </c>
      <c r="R168" s="55">
        <v>19369</v>
      </c>
      <c r="S168" s="55">
        <v>19061</v>
      </c>
      <c r="T168" s="55">
        <v>18763</v>
      </c>
      <c r="U168" s="55">
        <v>18476</v>
      </c>
    </row>
    <row r="169" spans="1:21" x14ac:dyDescent="0.3">
      <c r="A169" s="396" t="s">
        <v>356</v>
      </c>
      <c r="B169" s="392"/>
      <c r="C169" s="55">
        <v>1953463</v>
      </c>
      <c r="D169" s="55">
        <v>1958843</v>
      </c>
      <c r="E169" s="55">
        <v>1964975</v>
      </c>
      <c r="F169" s="55">
        <v>1971418</v>
      </c>
      <c r="G169" s="55">
        <v>1977694</v>
      </c>
      <c r="H169" s="55">
        <v>1983310</v>
      </c>
      <c r="I169" s="55">
        <v>1987788</v>
      </c>
      <c r="J169" s="55">
        <v>1990738</v>
      </c>
      <c r="K169" s="55">
        <v>1991740</v>
      </c>
      <c r="L169" s="55">
        <v>1990523</v>
      </c>
      <c r="M169" s="55">
        <v>1987271</v>
      </c>
      <c r="N169" s="55">
        <v>1982292</v>
      </c>
      <c r="O169" s="55">
        <v>1975840</v>
      </c>
      <c r="P169" s="55">
        <v>1968264</v>
      </c>
      <c r="Q169" s="55">
        <v>1959966</v>
      </c>
      <c r="R169" s="55">
        <v>1951405</v>
      </c>
      <c r="S169" s="55">
        <v>1943010</v>
      </c>
      <c r="T169" s="55">
        <v>1935108</v>
      </c>
      <c r="U169" s="55">
        <v>1927939</v>
      </c>
    </row>
    <row r="170" spans="1:21" x14ac:dyDescent="0.3">
      <c r="A170" s="395" t="s">
        <v>357</v>
      </c>
      <c r="B170" s="392"/>
      <c r="C170" s="55">
        <v>80325</v>
      </c>
      <c r="D170" s="55">
        <v>81568</v>
      </c>
      <c r="E170" s="55">
        <v>82938</v>
      </c>
      <c r="F170" s="55">
        <v>84363</v>
      </c>
      <c r="G170" s="55">
        <v>85762</v>
      </c>
      <c r="H170" s="55">
        <v>87057</v>
      </c>
      <c r="I170" s="55">
        <v>88179</v>
      </c>
      <c r="J170" s="55">
        <v>89072</v>
      </c>
      <c r="K170" s="55">
        <v>89693</v>
      </c>
      <c r="L170" s="55">
        <v>90027</v>
      </c>
      <c r="M170" s="55">
        <v>90111</v>
      </c>
      <c r="N170" s="55">
        <v>89989</v>
      </c>
      <c r="O170" s="55">
        <v>89683</v>
      </c>
      <c r="P170" s="55">
        <v>89214</v>
      </c>
      <c r="Q170" s="55">
        <v>88603</v>
      </c>
      <c r="R170" s="55">
        <v>87883</v>
      </c>
      <c r="S170" s="55">
        <v>87089</v>
      </c>
      <c r="T170" s="55">
        <v>86258</v>
      </c>
      <c r="U170" s="55">
        <v>85418</v>
      </c>
    </row>
    <row r="171" spans="1:21" x14ac:dyDescent="0.3">
      <c r="A171" s="395" t="s">
        <v>358</v>
      </c>
      <c r="B171" s="392"/>
      <c r="C171" s="55">
        <v>127116</v>
      </c>
      <c r="D171" s="55">
        <v>126829</v>
      </c>
      <c r="E171" s="55">
        <v>126396</v>
      </c>
      <c r="F171" s="55">
        <v>125894</v>
      </c>
      <c r="G171" s="55">
        <v>125396</v>
      </c>
      <c r="H171" s="55">
        <v>124943</v>
      </c>
      <c r="I171" s="55">
        <v>124560</v>
      </c>
      <c r="J171" s="55">
        <v>124262</v>
      </c>
      <c r="K171" s="55">
        <v>124027</v>
      </c>
      <c r="L171" s="55">
        <v>123807</v>
      </c>
      <c r="M171" s="55">
        <v>123541</v>
      </c>
      <c r="N171" s="55">
        <v>123191</v>
      </c>
      <c r="O171" s="55">
        <v>122756</v>
      </c>
      <c r="P171" s="55">
        <v>122251</v>
      </c>
      <c r="Q171" s="55">
        <v>121705</v>
      </c>
      <c r="R171" s="55">
        <v>121169</v>
      </c>
      <c r="S171" s="55">
        <v>120689</v>
      </c>
      <c r="T171" s="55">
        <v>120291</v>
      </c>
      <c r="U171" s="55">
        <v>120001</v>
      </c>
    </row>
    <row r="172" spans="1:21" x14ac:dyDescent="0.3">
      <c r="A172" s="395" t="s">
        <v>359</v>
      </c>
      <c r="B172" s="392"/>
      <c r="C172" s="55">
        <v>786991</v>
      </c>
      <c r="D172" s="55">
        <v>778703</v>
      </c>
      <c r="E172" s="55">
        <v>768679</v>
      </c>
      <c r="F172" s="55">
        <v>757770</v>
      </c>
      <c r="G172" s="55">
        <v>746994</v>
      </c>
      <c r="H172" s="55">
        <v>737254</v>
      </c>
      <c r="I172" s="55">
        <v>729215</v>
      </c>
      <c r="J172" s="55">
        <v>723195</v>
      </c>
      <c r="K172" s="55">
        <v>719164</v>
      </c>
      <c r="L172" s="55">
        <v>716725</v>
      </c>
      <c r="M172" s="55">
        <v>715098</v>
      </c>
      <c r="N172" s="55">
        <v>713658</v>
      </c>
      <c r="O172" s="55">
        <v>712192</v>
      </c>
      <c r="P172" s="55">
        <v>710631</v>
      </c>
      <c r="Q172" s="55">
        <v>709069</v>
      </c>
      <c r="R172" s="55">
        <v>707765</v>
      </c>
      <c r="S172" s="55">
        <v>706902</v>
      </c>
      <c r="T172" s="55">
        <v>706493</v>
      </c>
      <c r="U172" s="55">
        <v>706561</v>
      </c>
    </row>
    <row r="173" spans="1:21" x14ac:dyDescent="0.3">
      <c r="A173" s="395" t="s">
        <v>360</v>
      </c>
      <c r="B173" s="392"/>
      <c r="C173" s="55">
        <v>691705</v>
      </c>
      <c r="D173" s="55">
        <v>704643</v>
      </c>
      <c r="E173" s="55">
        <v>720106</v>
      </c>
      <c r="F173" s="55">
        <v>736736</v>
      </c>
      <c r="G173" s="55">
        <v>752931</v>
      </c>
      <c r="H173" s="55">
        <v>767241</v>
      </c>
      <c r="I173" s="55">
        <v>778530</v>
      </c>
      <c r="J173" s="55">
        <v>786166</v>
      </c>
      <c r="K173" s="55">
        <v>789910</v>
      </c>
      <c r="L173" s="55">
        <v>790071</v>
      </c>
      <c r="M173" s="55">
        <v>787779</v>
      </c>
      <c r="N173" s="55">
        <v>784072</v>
      </c>
      <c r="O173" s="55">
        <v>779459</v>
      </c>
      <c r="P173" s="55">
        <v>774354</v>
      </c>
      <c r="Q173" s="55">
        <v>769002</v>
      </c>
      <c r="R173" s="55">
        <v>763445</v>
      </c>
      <c r="S173" s="55">
        <v>757775</v>
      </c>
      <c r="T173" s="55">
        <v>752213</v>
      </c>
      <c r="U173" s="55">
        <v>746904</v>
      </c>
    </row>
    <row r="174" spans="1:21" x14ac:dyDescent="0.3">
      <c r="A174" s="395" t="s">
        <v>361</v>
      </c>
      <c r="B174" s="392"/>
      <c r="C174" s="55">
        <v>5936</v>
      </c>
      <c r="D174" s="55">
        <v>6031</v>
      </c>
      <c r="E174" s="55">
        <v>6119</v>
      </c>
      <c r="F174" s="55">
        <v>6199</v>
      </c>
      <c r="G174" s="55">
        <v>6271</v>
      </c>
      <c r="H174" s="55">
        <v>6336</v>
      </c>
      <c r="I174" s="55">
        <v>6395</v>
      </c>
      <c r="J174" s="55">
        <v>6449</v>
      </c>
      <c r="K174" s="55">
        <v>6496</v>
      </c>
      <c r="L174" s="55">
        <v>6536</v>
      </c>
      <c r="M174" s="55">
        <v>6569</v>
      </c>
      <c r="N174" s="55">
        <v>6595</v>
      </c>
      <c r="O174" s="55">
        <v>6616</v>
      </c>
      <c r="P174" s="55">
        <v>6633</v>
      </c>
      <c r="Q174" s="55">
        <v>6648</v>
      </c>
      <c r="R174" s="55">
        <v>6662</v>
      </c>
      <c r="S174" s="55">
        <v>6676</v>
      </c>
      <c r="T174" s="55">
        <v>6692</v>
      </c>
      <c r="U174" s="55">
        <v>6710</v>
      </c>
    </row>
    <row r="175" spans="1:21" x14ac:dyDescent="0.3">
      <c r="A175" s="395" t="s">
        <v>362</v>
      </c>
      <c r="B175" s="392"/>
      <c r="C175" s="55">
        <v>178139</v>
      </c>
      <c r="D175" s="55">
        <v>176582</v>
      </c>
      <c r="E175" s="55">
        <v>175129</v>
      </c>
      <c r="F175" s="55">
        <v>173873</v>
      </c>
      <c r="G175" s="55">
        <v>172938</v>
      </c>
      <c r="H175" s="55">
        <v>172397</v>
      </c>
      <c r="I175" s="55">
        <v>172270</v>
      </c>
      <c r="J175" s="55">
        <v>172525</v>
      </c>
      <c r="K175" s="55">
        <v>173080</v>
      </c>
      <c r="L175" s="55">
        <v>173819</v>
      </c>
      <c r="M175" s="55">
        <v>174593</v>
      </c>
      <c r="N175" s="55">
        <v>175273</v>
      </c>
      <c r="O175" s="55">
        <v>175779</v>
      </c>
      <c r="P175" s="55">
        <v>176061</v>
      </c>
      <c r="Q175" s="55">
        <v>176117</v>
      </c>
      <c r="R175" s="55">
        <v>176004</v>
      </c>
      <c r="S175" s="55">
        <v>175769</v>
      </c>
      <c r="T175" s="55">
        <v>175418</v>
      </c>
      <c r="U175" s="55">
        <v>174952</v>
      </c>
    </row>
    <row r="176" spans="1:21" x14ac:dyDescent="0.3">
      <c r="A176" s="395" t="s">
        <v>363</v>
      </c>
      <c r="B176" s="392"/>
      <c r="C176" s="55">
        <v>82455</v>
      </c>
      <c r="D176" s="55">
        <v>83682</v>
      </c>
      <c r="E176" s="55">
        <v>84792</v>
      </c>
      <c r="F176" s="55">
        <v>85756</v>
      </c>
      <c r="G176" s="55">
        <v>86565</v>
      </c>
      <c r="H176" s="55">
        <v>87236</v>
      </c>
      <c r="I176" s="55">
        <v>87786</v>
      </c>
      <c r="J176" s="55">
        <v>88212</v>
      </c>
      <c r="K176" s="55">
        <v>88511</v>
      </c>
      <c r="L176" s="55">
        <v>88677</v>
      </c>
      <c r="M176" s="55">
        <v>88718</v>
      </c>
      <c r="N176" s="55">
        <v>88650</v>
      </c>
      <c r="O176" s="55">
        <v>88489</v>
      </c>
      <c r="P176" s="55">
        <v>88250</v>
      </c>
      <c r="Q176" s="55">
        <v>87948</v>
      </c>
      <c r="R176" s="55">
        <v>87599</v>
      </c>
      <c r="S176" s="55">
        <v>87227</v>
      </c>
      <c r="T176" s="55">
        <v>86856</v>
      </c>
      <c r="U176" s="55">
        <v>86504</v>
      </c>
    </row>
    <row r="177" spans="1:21" x14ac:dyDescent="0.3">
      <c r="A177" s="393" t="s">
        <v>364</v>
      </c>
      <c r="B177" s="392"/>
      <c r="C177" s="55">
        <v>21510948</v>
      </c>
      <c r="D177" s="55">
        <v>21457418</v>
      </c>
      <c r="E177" s="55">
        <v>21397762</v>
      </c>
      <c r="F177" s="55">
        <v>21326942</v>
      </c>
      <c r="G177" s="55">
        <v>21241928</v>
      </c>
      <c r="H177" s="55">
        <v>21143728</v>
      </c>
      <c r="I177" s="55">
        <v>21033604</v>
      </c>
      <c r="J177" s="55">
        <v>20911614</v>
      </c>
      <c r="K177" s="55">
        <v>20778404</v>
      </c>
      <c r="L177" s="55">
        <v>20635498</v>
      </c>
      <c r="M177" s="55">
        <v>20485796</v>
      </c>
      <c r="N177" s="55">
        <v>20332202</v>
      </c>
      <c r="O177" s="55">
        <v>20176712</v>
      </c>
      <c r="P177" s="55">
        <v>20020992</v>
      </c>
      <c r="Q177" s="55">
        <v>19866016</v>
      </c>
      <c r="R177" s="55">
        <v>19711760</v>
      </c>
      <c r="S177" s="55">
        <v>19558316</v>
      </c>
      <c r="T177" s="55">
        <v>19406304</v>
      </c>
      <c r="U177" s="55">
        <v>19255822</v>
      </c>
    </row>
    <row r="178" spans="1:21" x14ac:dyDescent="0.3">
      <c r="A178" s="396" t="s">
        <v>251</v>
      </c>
      <c r="B178" s="392"/>
      <c r="C178" s="55">
        <v>751602</v>
      </c>
      <c r="D178" s="55">
        <v>747380</v>
      </c>
      <c r="E178" s="55">
        <v>742077</v>
      </c>
      <c r="F178" s="55">
        <v>735782</v>
      </c>
      <c r="G178" s="55">
        <v>728741</v>
      </c>
      <c r="H178" s="55">
        <v>721361</v>
      </c>
      <c r="I178" s="55">
        <v>714016</v>
      </c>
      <c r="J178" s="55">
        <v>706903</v>
      </c>
      <c r="K178" s="55">
        <v>700165</v>
      </c>
      <c r="L178" s="55">
        <v>693847</v>
      </c>
      <c r="M178" s="55">
        <v>687855</v>
      </c>
      <c r="N178" s="55">
        <v>682108</v>
      </c>
      <c r="O178" s="55">
        <v>676607</v>
      </c>
      <c r="P178" s="55">
        <v>671353</v>
      </c>
      <c r="Q178" s="55">
        <v>666333</v>
      </c>
      <c r="R178" s="55">
        <v>661514</v>
      </c>
      <c r="S178" s="55">
        <v>656841</v>
      </c>
      <c r="T178" s="55">
        <v>652281</v>
      </c>
      <c r="U178" s="55">
        <v>647783</v>
      </c>
    </row>
    <row r="179" spans="1:21" x14ac:dyDescent="0.3">
      <c r="A179" s="395" t="s">
        <v>365</v>
      </c>
      <c r="B179" s="392"/>
      <c r="C179" s="55">
        <v>1469</v>
      </c>
      <c r="D179" s="55">
        <v>1476</v>
      </c>
      <c r="E179" s="55">
        <v>1482</v>
      </c>
      <c r="F179" s="55">
        <v>1484</v>
      </c>
      <c r="G179" s="55">
        <v>1484</v>
      </c>
      <c r="H179" s="55">
        <v>1481</v>
      </c>
      <c r="I179" s="55">
        <v>1475</v>
      </c>
      <c r="J179" s="55">
        <v>1467</v>
      </c>
      <c r="K179" s="55">
        <v>1457</v>
      </c>
      <c r="L179" s="55">
        <v>1445</v>
      </c>
      <c r="M179" s="55">
        <v>1433</v>
      </c>
      <c r="N179" s="55">
        <v>1420</v>
      </c>
      <c r="O179" s="55">
        <v>1408</v>
      </c>
      <c r="P179" s="55">
        <v>1396</v>
      </c>
      <c r="Q179" s="55">
        <v>1384</v>
      </c>
      <c r="R179" s="55">
        <v>1373</v>
      </c>
      <c r="S179" s="55">
        <v>1361</v>
      </c>
      <c r="T179" s="55">
        <v>1350</v>
      </c>
      <c r="U179" s="55">
        <v>1339</v>
      </c>
    </row>
    <row r="180" spans="1:21" x14ac:dyDescent="0.3">
      <c r="A180" s="395" t="s">
        <v>366</v>
      </c>
      <c r="B180" s="392"/>
      <c r="C180" s="55">
        <v>1143</v>
      </c>
      <c r="D180" s="55">
        <v>1149</v>
      </c>
      <c r="E180" s="55">
        <v>1161</v>
      </c>
      <c r="F180" s="55">
        <v>1177</v>
      </c>
      <c r="G180" s="55">
        <v>1195</v>
      </c>
      <c r="H180" s="55">
        <v>1214</v>
      </c>
      <c r="I180" s="55">
        <v>1233</v>
      </c>
      <c r="J180" s="55">
        <v>1249</v>
      </c>
      <c r="K180" s="55">
        <v>1264</v>
      </c>
      <c r="L180" s="55">
        <v>1276</v>
      </c>
      <c r="M180" s="55">
        <v>1287</v>
      </c>
      <c r="N180" s="55">
        <v>1298</v>
      </c>
      <c r="O180" s="55">
        <v>1308</v>
      </c>
      <c r="P180" s="55">
        <v>1318</v>
      </c>
      <c r="Q180" s="55">
        <v>1326</v>
      </c>
      <c r="R180" s="55">
        <v>1334</v>
      </c>
      <c r="S180" s="55">
        <v>1340</v>
      </c>
      <c r="T180" s="55">
        <v>1343</v>
      </c>
      <c r="U180" s="55">
        <v>1344</v>
      </c>
    </row>
    <row r="181" spans="1:21" x14ac:dyDescent="0.3">
      <c r="A181" s="395" t="s">
        <v>367</v>
      </c>
      <c r="B181" s="392"/>
      <c r="C181" s="55">
        <v>5309</v>
      </c>
      <c r="D181" s="55">
        <v>5311</v>
      </c>
      <c r="E181" s="55">
        <v>5318</v>
      </c>
      <c r="F181" s="55">
        <v>5331</v>
      </c>
      <c r="G181" s="55">
        <v>5350</v>
      </c>
      <c r="H181" s="55">
        <v>5371</v>
      </c>
      <c r="I181" s="55">
        <v>5391</v>
      </c>
      <c r="J181" s="55">
        <v>5408</v>
      </c>
      <c r="K181" s="55">
        <v>5422</v>
      </c>
      <c r="L181" s="55">
        <v>5434</v>
      </c>
      <c r="M181" s="55">
        <v>5445</v>
      </c>
      <c r="N181" s="55">
        <v>5453</v>
      </c>
      <c r="O181" s="55">
        <v>5460</v>
      </c>
      <c r="P181" s="55">
        <v>5463</v>
      </c>
      <c r="Q181" s="55">
        <v>5462</v>
      </c>
      <c r="R181" s="55">
        <v>5456</v>
      </c>
      <c r="S181" s="55">
        <v>5445</v>
      </c>
      <c r="T181" s="55">
        <v>5429</v>
      </c>
      <c r="U181" s="55">
        <v>5408</v>
      </c>
    </row>
    <row r="182" spans="1:21" x14ac:dyDescent="0.3">
      <c r="A182" s="395" t="s">
        <v>368</v>
      </c>
      <c r="B182" s="392"/>
      <c r="C182" s="55">
        <v>3190</v>
      </c>
      <c r="D182" s="55">
        <v>3144</v>
      </c>
      <c r="E182" s="55">
        <v>3108</v>
      </c>
      <c r="F182" s="55">
        <v>3083</v>
      </c>
      <c r="G182" s="55">
        <v>3067</v>
      </c>
      <c r="H182" s="55">
        <v>3058</v>
      </c>
      <c r="I182" s="55">
        <v>3052</v>
      </c>
      <c r="J182" s="55">
        <v>3048</v>
      </c>
      <c r="K182" s="55">
        <v>3045</v>
      </c>
      <c r="L182" s="55">
        <v>3043</v>
      </c>
      <c r="M182" s="55">
        <v>3042</v>
      </c>
      <c r="N182" s="55">
        <v>3041</v>
      </c>
      <c r="O182" s="55">
        <v>3039</v>
      </c>
      <c r="P182" s="55">
        <v>3037</v>
      </c>
      <c r="Q182" s="55">
        <v>3034</v>
      </c>
      <c r="R182" s="55">
        <v>3030</v>
      </c>
      <c r="S182" s="55">
        <v>3023</v>
      </c>
      <c r="T182" s="55">
        <v>3015</v>
      </c>
      <c r="U182" s="55">
        <v>3003</v>
      </c>
    </row>
    <row r="183" spans="1:21" x14ac:dyDescent="0.3">
      <c r="A183" s="395" t="s">
        <v>369</v>
      </c>
      <c r="B183" s="392"/>
      <c r="C183" s="55">
        <v>125934</v>
      </c>
      <c r="D183" s="55">
        <v>125358</v>
      </c>
      <c r="E183" s="55">
        <v>124151</v>
      </c>
      <c r="F183" s="55">
        <v>122336</v>
      </c>
      <c r="G183" s="55">
        <v>120051</v>
      </c>
      <c r="H183" s="55">
        <v>117569</v>
      </c>
      <c r="I183" s="55">
        <v>115121</v>
      </c>
      <c r="J183" s="55">
        <v>112811</v>
      </c>
      <c r="K183" s="55">
        <v>110698</v>
      </c>
      <c r="L183" s="55">
        <v>108788</v>
      </c>
      <c r="M183" s="55">
        <v>107011</v>
      </c>
      <c r="N183" s="55">
        <v>105318</v>
      </c>
      <c r="O183" s="55">
        <v>103714</v>
      </c>
      <c r="P183" s="55">
        <v>102207</v>
      </c>
      <c r="Q183" s="55">
        <v>100807</v>
      </c>
      <c r="R183" s="55">
        <v>99517</v>
      </c>
      <c r="S183" s="55">
        <v>98335</v>
      </c>
      <c r="T183" s="55">
        <v>97254</v>
      </c>
      <c r="U183" s="55">
        <v>96268</v>
      </c>
    </row>
    <row r="184" spans="1:21" x14ac:dyDescent="0.3">
      <c r="A184" s="395" t="s">
        <v>370</v>
      </c>
      <c r="B184" s="392"/>
      <c r="C184" s="55">
        <v>1985</v>
      </c>
      <c r="D184" s="55">
        <v>1970</v>
      </c>
      <c r="E184" s="55">
        <v>1939</v>
      </c>
      <c r="F184" s="55">
        <v>1896</v>
      </c>
      <c r="G184" s="55">
        <v>1848</v>
      </c>
      <c r="H184" s="55">
        <v>1803</v>
      </c>
      <c r="I184" s="55">
        <v>1769</v>
      </c>
      <c r="J184" s="55">
        <v>1747</v>
      </c>
      <c r="K184" s="55">
        <v>1738</v>
      </c>
      <c r="L184" s="55">
        <v>1740</v>
      </c>
      <c r="M184" s="55">
        <v>1748</v>
      </c>
      <c r="N184" s="55">
        <v>1758</v>
      </c>
      <c r="O184" s="55">
        <v>1768</v>
      </c>
      <c r="P184" s="55">
        <v>1776</v>
      </c>
      <c r="Q184" s="55">
        <v>1782</v>
      </c>
      <c r="R184" s="55">
        <v>1788</v>
      </c>
      <c r="S184" s="55">
        <v>1792</v>
      </c>
      <c r="T184" s="55">
        <v>1796</v>
      </c>
      <c r="U184" s="55">
        <v>1798</v>
      </c>
    </row>
    <row r="185" spans="1:21" x14ac:dyDescent="0.3">
      <c r="A185" s="395" t="s">
        <v>179</v>
      </c>
      <c r="B185" s="392"/>
      <c r="C185" s="55">
        <v>208359</v>
      </c>
      <c r="D185" s="55">
        <v>208726</v>
      </c>
      <c r="E185" s="55">
        <v>208968</v>
      </c>
      <c r="F185" s="55">
        <v>208994</v>
      </c>
      <c r="G185" s="55">
        <v>208724</v>
      </c>
      <c r="H185" s="55">
        <v>208134</v>
      </c>
      <c r="I185" s="55">
        <v>207223</v>
      </c>
      <c r="J185" s="55">
        <v>205998</v>
      </c>
      <c r="K185" s="55">
        <v>204486</v>
      </c>
      <c r="L185" s="55">
        <v>202734</v>
      </c>
      <c r="M185" s="55">
        <v>200829</v>
      </c>
      <c r="N185" s="55">
        <v>198852</v>
      </c>
      <c r="O185" s="55">
        <v>196859</v>
      </c>
      <c r="P185" s="55">
        <v>194897</v>
      </c>
      <c r="Q185" s="55">
        <v>192987</v>
      </c>
      <c r="R185" s="55">
        <v>191122</v>
      </c>
      <c r="S185" s="55">
        <v>189301</v>
      </c>
      <c r="T185" s="55">
        <v>187536</v>
      </c>
      <c r="U185" s="55">
        <v>185838</v>
      </c>
    </row>
    <row r="186" spans="1:21" x14ac:dyDescent="0.3">
      <c r="A186" s="395" t="s">
        <v>371</v>
      </c>
      <c r="B186" s="392"/>
      <c r="C186" s="55">
        <v>1873</v>
      </c>
      <c r="D186" s="55">
        <v>1874</v>
      </c>
      <c r="E186" s="55">
        <v>1874</v>
      </c>
      <c r="F186" s="55">
        <v>1869</v>
      </c>
      <c r="G186" s="55">
        <v>1862</v>
      </c>
      <c r="H186" s="55">
        <v>1849</v>
      </c>
      <c r="I186" s="55">
        <v>1833</v>
      </c>
      <c r="J186" s="55">
        <v>1813</v>
      </c>
      <c r="K186" s="55">
        <v>1788</v>
      </c>
      <c r="L186" s="55">
        <v>1759</v>
      </c>
      <c r="M186" s="55">
        <v>1727</v>
      </c>
      <c r="N186" s="55">
        <v>1693</v>
      </c>
      <c r="O186" s="55">
        <v>1657</v>
      </c>
      <c r="P186" s="55">
        <v>1622</v>
      </c>
      <c r="Q186" s="55">
        <v>1588</v>
      </c>
      <c r="R186" s="55">
        <v>1555</v>
      </c>
      <c r="S186" s="55">
        <v>1524</v>
      </c>
      <c r="T186" s="55">
        <v>1497</v>
      </c>
      <c r="U186" s="55">
        <v>1474</v>
      </c>
    </row>
    <row r="187" spans="1:21" x14ac:dyDescent="0.3">
      <c r="A187" s="395" t="s">
        <v>372</v>
      </c>
      <c r="B187" s="392"/>
      <c r="C187" s="55">
        <v>5210</v>
      </c>
      <c r="D187" s="55">
        <v>5070</v>
      </c>
      <c r="E187" s="55">
        <v>4950</v>
      </c>
      <c r="F187" s="55">
        <v>4849</v>
      </c>
      <c r="G187" s="55">
        <v>4767</v>
      </c>
      <c r="H187" s="55">
        <v>4698</v>
      </c>
      <c r="I187" s="55">
        <v>4641</v>
      </c>
      <c r="J187" s="55">
        <v>4594</v>
      </c>
      <c r="K187" s="55">
        <v>4561</v>
      </c>
      <c r="L187" s="55">
        <v>4543</v>
      </c>
      <c r="M187" s="55">
        <v>4544</v>
      </c>
      <c r="N187" s="55">
        <v>4563</v>
      </c>
      <c r="O187" s="55">
        <v>4597</v>
      </c>
      <c r="P187" s="55">
        <v>4645</v>
      </c>
      <c r="Q187" s="55">
        <v>4702</v>
      </c>
      <c r="R187" s="55">
        <v>4765</v>
      </c>
      <c r="S187" s="55">
        <v>4827</v>
      </c>
      <c r="T187" s="55">
        <v>4883</v>
      </c>
      <c r="U187" s="55">
        <v>4927</v>
      </c>
    </row>
    <row r="188" spans="1:21" x14ac:dyDescent="0.3">
      <c r="A188" s="395" t="s">
        <v>70</v>
      </c>
      <c r="B188" s="392"/>
      <c r="C188" s="55">
        <v>275128</v>
      </c>
      <c r="D188" s="55">
        <v>274779</v>
      </c>
      <c r="E188" s="55">
        <v>274234</v>
      </c>
      <c r="F188" s="55">
        <v>273526</v>
      </c>
      <c r="G188" s="55">
        <v>272698</v>
      </c>
      <c r="H188" s="55">
        <v>271800</v>
      </c>
      <c r="I188" s="55">
        <v>270871</v>
      </c>
      <c r="J188" s="55">
        <v>269929</v>
      </c>
      <c r="K188" s="55">
        <v>268969</v>
      </c>
      <c r="L188" s="55">
        <v>267969</v>
      </c>
      <c r="M188" s="55">
        <v>266898</v>
      </c>
      <c r="N188" s="55">
        <v>265737</v>
      </c>
      <c r="O188" s="55">
        <v>264490</v>
      </c>
      <c r="P188" s="55">
        <v>263170</v>
      </c>
      <c r="Q188" s="55">
        <v>261796</v>
      </c>
      <c r="R188" s="55">
        <v>260394</v>
      </c>
      <c r="S188" s="55">
        <v>258988.99999999997</v>
      </c>
      <c r="T188" s="55">
        <v>257596.99999999997</v>
      </c>
      <c r="U188" s="55">
        <v>256231</v>
      </c>
    </row>
    <row r="189" spans="1:21" x14ac:dyDescent="0.3">
      <c r="A189" s="395" t="s">
        <v>194</v>
      </c>
      <c r="B189" s="392"/>
      <c r="C189" s="55">
        <v>49013</v>
      </c>
      <c r="D189" s="55">
        <v>48648</v>
      </c>
      <c r="E189" s="55">
        <v>48340</v>
      </c>
      <c r="F189" s="55">
        <v>48071</v>
      </c>
      <c r="G189" s="55">
        <v>47817</v>
      </c>
      <c r="H189" s="55">
        <v>47549</v>
      </c>
      <c r="I189" s="55">
        <v>47241</v>
      </c>
      <c r="J189" s="55">
        <v>46879</v>
      </c>
      <c r="K189" s="55">
        <v>46455</v>
      </c>
      <c r="L189" s="55">
        <v>45967</v>
      </c>
      <c r="M189" s="55">
        <v>45429</v>
      </c>
      <c r="N189" s="55">
        <v>44857</v>
      </c>
      <c r="O189" s="55">
        <v>44259</v>
      </c>
      <c r="P189" s="55">
        <v>43641</v>
      </c>
      <c r="Q189" s="55">
        <v>43012</v>
      </c>
      <c r="R189" s="55">
        <v>42377</v>
      </c>
      <c r="S189" s="55">
        <v>41743</v>
      </c>
      <c r="T189" s="55">
        <v>41119</v>
      </c>
      <c r="U189" s="55">
        <v>40511</v>
      </c>
    </row>
    <row r="190" spans="1:21" x14ac:dyDescent="0.3">
      <c r="A190" s="395" t="s">
        <v>373</v>
      </c>
      <c r="B190" s="392"/>
      <c r="C190" s="55">
        <v>4539</v>
      </c>
      <c r="D190" s="55">
        <v>4359</v>
      </c>
      <c r="E190" s="55">
        <v>4189</v>
      </c>
      <c r="F190" s="55">
        <v>4035</v>
      </c>
      <c r="G190" s="55">
        <v>3902</v>
      </c>
      <c r="H190" s="55">
        <v>3790</v>
      </c>
      <c r="I190" s="55">
        <v>3700</v>
      </c>
      <c r="J190" s="55">
        <v>3633</v>
      </c>
      <c r="K190" s="55">
        <v>3589</v>
      </c>
      <c r="L190" s="55">
        <v>3568</v>
      </c>
      <c r="M190" s="55">
        <v>3566</v>
      </c>
      <c r="N190" s="55">
        <v>3578</v>
      </c>
      <c r="O190" s="55">
        <v>3600</v>
      </c>
      <c r="P190" s="55">
        <v>3629</v>
      </c>
      <c r="Q190" s="55">
        <v>3664</v>
      </c>
      <c r="R190" s="55">
        <v>3702</v>
      </c>
      <c r="S190" s="55">
        <v>3740</v>
      </c>
      <c r="T190" s="55">
        <v>3775</v>
      </c>
      <c r="U190" s="55">
        <v>3801</v>
      </c>
    </row>
    <row r="191" spans="1:21" x14ac:dyDescent="0.3">
      <c r="A191" s="395" t="s">
        <v>374</v>
      </c>
      <c r="B191" s="392"/>
      <c r="C191" s="55">
        <v>37869</v>
      </c>
      <c r="D191" s="55">
        <v>35251</v>
      </c>
      <c r="E191" s="55">
        <v>32473</v>
      </c>
      <c r="F191" s="55">
        <v>29665</v>
      </c>
      <c r="G191" s="55">
        <v>26975</v>
      </c>
      <c r="H191" s="55">
        <v>24541</v>
      </c>
      <c r="I191" s="55">
        <v>22475</v>
      </c>
      <c r="J191" s="55">
        <v>20850</v>
      </c>
      <c r="K191" s="55">
        <v>19718</v>
      </c>
      <c r="L191" s="55">
        <v>19089</v>
      </c>
      <c r="M191" s="55">
        <v>18865</v>
      </c>
      <c r="N191" s="55">
        <v>18942</v>
      </c>
      <c r="O191" s="55">
        <v>19248</v>
      </c>
      <c r="P191" s="55">
        <v>19708</v>
      </c>
      <c r="Q191" s="55">
        <v>20257</v>
      </c>
      <c r="R191" s="55">
        <v>20837</v>
      </c>
      <c r="S191" s="55">
        <v>21385</v>
      </c>
      <c r="T191" s="55">
        <v>21841</v>
      </c>
      <c r="U191" s="55">
        <v>22155</v>
      </c>
    </row>
    <row r="192" spans="1:21" x14ac:dyDescent="0.3">
      <c r="A192" s="395" t="s">
        <v>375</v>
      </c>
      <c r="B192" s="392"/>
      <c r="C192" s="55">
        <v>2243</v>
      </c>
      <c r="D192" s="55">
        <v>2236</v>
      </c>
      <c r="E192" s="55">
        <v>2230</v>
      </c>
      <c r="F192" s="55">
        <v>2223</v>
      </c>
      <c r="G192" s="55">
        <v>2213</v>
      </c>
      <c r="H192" s="55">
        <v>2200</v>
      </c>
      <c r="I192" s="55">
        <v>2184</v>
      </c>
      <c r="J192" s="55">
        <v>2164</v>
      </c>
      <c r="K192" s="55">
        <v>2139</v>
      </c>
      <c r="L192" s="55">
        <v>2110</v>
      </c>
      <c r="M192" s="55">
        <v>2077</v>
      </c>
      <c r="N192" s="55">
        <v>2041.9999999999998</v>
      </c>
      <c r="O192" s="55">
        <v>2005</v>
      </c>
      <c r="P192" s="55">
        <v>1967</v>
      </c>
      <c r="Q192" s="55">
        <v>1928</v>
      </c>
      <c r="R192" s="55">
        <v>1889</v>
      </c>
      <c r="S192" s="55">
        <v>1851</v>
      </c>
      <c r="T192" s="55">
        <v>1815</v>
      </c>
      <c r="U192" s="55">
        <v>1780</v>
      </c>
    </row>
    <row r="193" spans="1:21" x14ac:dyDescent="0.3">
      <c r="A193" s="395" t="s">
        <v>376</v>
      </c>
      <c r="B193" s="392"/>
      <c r="C193" s="55">
        <v>1693</v>
      </c>
      <c r="D193" s="55">
        <v>1663</v>
      </c>
      <c r="E193" s="55">
        <v>1637</v>
      </c>
      <c r="F193" s="55">
        <v>1615</v>
      </c>
      <c r="G193" s="55">
        <v>1597</v>
      </c>
      <c r="H193" s="55">
        <v>1582</v>
      </c>
      <c r="I193" s="55">
        <v>1569</v>
      </c>
      <c r="J193" s="55">
        <v>1557</v>
      </c>
      <c r="K193" s="55">
        <v>1545</v>
      </c>
      <c r="L193" s="55">
        <v>1533</v>
      </c>
      <c r="M193" s="55">
        <v>1520</v>
      </c>
      <c r="N193" s="55">
        <v>1507</v>
      </c>
      <c r="O193" s="55">
        <v>1494</v>
      </c>
      <c r="P193" s="55">
        <v>1479</v>
      </c>
      <c r="Q193" s="55">
        <v>1464</v>
      </c>
      <c r="R193" s="55">
        <v>1448</v>
      </c>
      <c r="S193" s="55">
        <v>1432</v>
      </c>
      <c r="T193" s="55">
        <v>1416</v>
      </c>
      <c r="U193" s="55">
        <v>1399</v>
      </c>
    </row>
    <row r="194" spans="1:21" x14ac:dyDescent="0.3">
      <c r="A194" s="395" t="s">
        <v>377</v>
      </c>
      <c r="B194" s="392"/>
      <c r="C194" s="55">
        <v>19992</v>
      </c>
      <c r="D194" s="55">
        <v>19771</v>
      </c>
      <c r="E194" s="55">
        <v>19492</v>
      </c>
      <c r="F194" s="55">
        <v>19161</v>
      </c>
      <c r="G194" s="55">
        <v>18785</v>
      </c>
      <c r="H194" s="55">
        <v>18377</v>
      </c>
      <c r="I194" s="55">
        <v>17951</v>
      </c>
      <c r="J194" s="55">
        <v>17522</v>
      </c>
      <c r="K194" s="55">
        <v>17103</v>
      </c>
      <c r="L194" s="55">
        <v>16704</v>
      </c>
      <c r="M194" s="55">
        <v>16329</v>
      </c>
      <c r="N194" s="55">
        <v>15982</v>
      </c>
      <c r="O194" s="55">
        <v>15671</v>
      </c>
      <c r="P194" s="55">
        <v>15402</v>
      </c>
      <c r="Q194" s="55">
        <v>15178</v>
      </c>
      <c r="R194" s="55">
        <v>14996</v>
      </c>
      <c r="S194" s="55">
        <v>14850</v>
      </c>
      <c r="T194" s="55">
        <v>14736</v>
      </c>
      <c r="U194" s="55">
        <v>14654</v>
      </c>
    </row>
    <row r="195" spans="1:21" x14ac:dyDescent="0.3">
      <c r="A195" s="395" t="s">
        <v>378</v>
      </c>
      <c r="B195" s="392"/>
      <c r="C195" s="55">
        <v>1498</v>
      </c>
      <c r="D195" s="55">
        <v>1442</v>
      </c>
      <c r="E195" s="55">
        <v>1387</v>
      </c>
      <c r="F195" s="55">
        <v>1337</v>
      </c>
      <c r="G195" s="55">
        <v>1293</v>
      </c>
      <c r="H195" s="55">
        <v>1256</v>
      </c>
      <c r="I195" s="55">
        <v>1224</v>
      </c>
      <c r="J195" s="55">
        <v>1199</v>
      </c>
      <c r="K195" s="55">
        <v>1181</v>
      </c>
      <c r="L195" s="55">
        <v>1166</v>
      </c>
      <c r="M195" s="55">
        <v>1155</v>
      </c>
      <c r="N195" s="55">
        <v>1145</v>
      </c>
      <c r="O195" s="55">
        <v>1136</v>
      </c>
      <c r="P195" s="55">
        <v>1127</v>
      </c>
      <c r="Q195" s="55">
        <v>1118</v>
      </c>
      <c r="R195" s="55">
        <v>1110</v>
      </c>
      <c r="S195" s="55">
        <v>1104</v>
      </c>
      <c r="T195" s="55">
        <v>1098</v>
      </c>
      <c r="U195" s="55">
        <v>1092</v>
      </c>
    </row>
    <row r="196" spans="1:21" x14ac:dyDescent="0.3">
      <c r="A196" s="396" t="s">
        <v>252</v>
      </c>
      <c r="B196" s="392"/>
      <c r="C196" s="55">
        <v>3314595</v>
      </c>
      <c r="D196" s="55">
        <v>3311464</v>
      </c>
      <c r="E196" s="55">
        <v>3305600</v>
      </c>
      <c r="F196" s="55">
        <v>3296850</v>
      </c>
      <c r="G196" s="55">
        <v>3285618</v>
      </c>
      <c r="H196" s="55">
        <v>3272905</v>
      </c>
      <c r="I196" s="55">
        <v>3259486</v>
      </c>
      <c r="J196" s="55">
        <v>3245542</v>
      </c>
      <c r="K196" s="55">
        <v>3231035</v>
      </c>
      <c r="L196" s="55">
        <v>3215754</v>
      </c>
      <c r="M196" s="55">
        <v>3199397</v>
      </c>
      <c r="N196" s="55">
        <v>3181806</v>
      </c>
      <c r="O196" s="55">
        <v>3163051</v>
      </c>
      <c r="P196" s="55">
        <v>3143261</v>
      </c>
      <c r="Q196" s="55">
        <v>3122617</v>
      </c>
      <c r="R196" s="55">
        <v>3101403</v>
      </c>
      <c r="S196" s="55">
        <v>3079904</v>
      </c>
      <c r="T196" s="55">
        <v>3058325</v>
      </c>
      <c r="U196" s="55">
        <v>3036817</v>
      </c>
    </row>
    <row r="197" spans="1:21" x14ac:dyDescent="0.3">
      <c r="A197" s="395" t="s">
        <v>379</v>
      </c>
      <c r="B197" s="392"/>
      <c r="C197" s="55">
        <v>7686</v>
      </c>
      <c r="D197" s="55">
        <v>7745</v>
      </c>
      <c r="E197" s="55">
        <v>7797</v>
      </c>
      <c r="F197" s="55">
        <v>7841</v>
      </c>
      <c r="G197" s="55">
        <v>7882</v>
      </c>
      <c r="H197" s="55">
        <v>7923</v>
      </c>
      <c r="I197" s="55">
        <v>7967</v>
      </c>
      <c r="J197" s="55">
        <v>8013.9999999999991</v>
      </c>
      <c r="K197" s="55">
        <v>8058.9999999999991</v>
      </c>
      <c r="L197" s="55">
        <v>8101.0000000000009</v>
      </c>
      <c r="M197" s="55">
        <v>8134</v>
      </c>
      <c r="N197" s="55">
        <v>8154.9999999999991</v>
      </c>
      <c r="O197" s="55">
        <v>8163</v>
      </c>
      <c r="P197" s="55">
        <v>8159.0000000000009</v>
      </c>
      <c r="Q197" s="55">
        <v>8141.9999999999991</v>
      </c>
      <c r="R197" s="55">
        <v>8115</v>
      </c>
      <c r="S197" s="55">
        <v>8082.0000000000009</v>
      </c>
      <c r="T197" s="55">
        <v>8044.0000000000009</v>
      </c>
      <c r="U197" s="55">
        <v>8004</v>
      </c>
    </row>
    <row r="198" spans="1:21" x14ac:dyDescent="0.3">
      <c r="A198" s="395" t="s">
        <v>380</v>
      </c>
      <c r="B198" s="392"/>
      <c r="C198" s="55">
        <v>72130</v>
      </c>
      <c r="D198" s="55">
        <v>72066</v>
      </c>
      <c r="E198" s="55">
        <v>71880</v>
      </c>
      <c r="F198" s="55">
        <v>71553</v>
      </c>
      <c r="G198" s="55">
        <v>71082</v>
      </c>
      <c r="H198" s="55">
        <v>70493</v>
      </c>
      <c r="I198" s="55">
        <v>69814</v>
      </c>
      <c r="J198" s="55">
        <v>69059</v>
      </c>
      <c r="K198" s="55">
        <v>68242</v>
      </c>
      <c r="L198" s="55">
        <v>67373</v>
      </c>
      <c r="M198" s="55">
        <v>66467</v>
      </c>
      <c r="N198" s="55">
        <v>65544</v>
      </c>
      <c r="O198" s="55">
        <v>64628</v>
      </c>
      <c r="P198" s="55">
        <v>63744</v>
      </c>
      <c r="Q198" s="55">
        <v>62913</v>
      </c>
      <c r="R198" s="55">
        <v>62143</v>
      </c>
      <c r="S198" s="55">
        <v>61438</v>
      </c>
      <c r="T198" s="55">
        <v>60803</v>
      </c>
      <c r="U198" s="55">
        <v>60235</v>
      </c>
    </row>
    <row r="199" spans="1:21" x14ac:dyDescent="0.3">
      <c r="A199" s="395" t="s">
        <v>184</v>
      </c>
      <c r="B199" s="392"/>
      <c r="C199" s="55">
        <v>119942</v>
      </c>
      <c r="D199" s="55">
        <v>119383</v>
      </c>
      <c r="E199" s="55">
        <v>118953</v>
      </c>
      <c r="F199" s="55">
        <v>118588</v>
      </c>
      <c r="G199" s="55">
        <v>118219</v>
      </c>
      <c r="H199" s="55">
        <v>117785</v>
      </c>
      <c r="I199" s="55">
        <v>117233</v>
      </c>
      <c r="J199" s="55">
        <v>116522</v>
      </c>
      <c r="K199" s="55">
        <v>115623</v>
      </c>
      <c r="L199" s="55">
        <v>114532</v>
      </c>
      <c r="M199" s="55">
        <v>113285</v>
      </c>
      <c r="N199" s="55">
        <v>111923</v>
      </c>
      <c r="O199" s="55">
        <v>110463</v>
      </c>
      <c r="P199" s="55">
        <v>108923</v>
      </c>
      <c r="Q199" s="55">
        <v>107317</v>
      </c>
      <c r="R199" s="55">
        <v>105664</v>
      </c>
      <c r="S199" s="55">
        <v>103987</v>
      </c>
      <c r="T199" s="55">
        <v>102310</v>
      </c>
      <c r="U199" s="55">
        <v>100653</v>
      </c>
    </row>
    <row r="200" spans="1:21" x14ac:dyDescent="0.3">
      <c r="A200" s="395" t="s">
        <v>190</v>
      </c>
      <c r="B200" s="392"/>
      <c r="C200" s="55">
        <v>409465</v>
      </c>
      <c r="D200" s="55">
        <v>411869</v>
      </c>
      <c r="E200" s="55">
        <v>414406</v>
      </c>
      <c r="F200" s="55">
        <v>416946</v>
      </c>
      <c r="G200" s="55">
        <v>419405</v>
      </c>
      <c r="H200" s="55">
        <v>421756</v>
      </c>
      <c r="I200" s="55">
        <v>423955</v>
      </c>
      <c r="J200" s="55">
        <v>425925</v>
      </c>
      <c r="K200" s="55">
        <v>427598</v>
      </c>
      <c r="L200" s="55">
        <v>428935</v>
      </c>
      <c r="M200" s="55">
        <v>429959</v>
      </c>
      <c r="N200" s="55">
        <v>430694</v>
      </c>
      <c r="O200" s="55">
        <v>431145</v>
      </c>
      <c r="P200" s="55">
        <v>431333</v>
      </c>
      <c r="Q200" s="55">
        <v>431289</v>
      </c>
      <c r="R200" s="55">
        <v>431051</v>
      </c>
      <c r="S200" s="55">
        <v>430654</v>
      </c>
      <c r="T200" s="55">
        <v>430115</v>
      </c>
      <c r="U200" s="55">
        <v>429429</v>
      </c>
    </row>
    <row r="201" spans="1:21" x14ac:dyDescent="0.3">
      <c r="A201" s="395" t="s">
        <v>71</v>
      </c>
      <c r="B201" s="392"/>
      <c r="C201" s="55">
        <v>205141</v>
      </c>
      <c r="D201" s="55">
        <v>204501</v>
      </c>
      <c r="E201" s="55">
        <v>204395</v>
      </c>
      <c r="F201" s="55">
        <v>204772</v>
      </c>
      <c r="G201" s="55">
        <v>205519</v>
      </c>
      <c r="H201" s="55">
        <v>206440</v>
      </c>
      <c r="I201" s="55">
        <v>207352</v>
      </c>
      <c r="J201" s="55">
        <v>208145</v>
      </c>
      <c r="K201" s="55">
        <v>208734</v>
      </c>
      <c r="L201" s="55">
        <v>209083</v>
      </c>
      <c r="M201" s="55">
        <v>209225</v>
      </c>
      <c r="N201" s="55">
        <v>209183</v>
      </c>
      <c r="O201" s="55">
        <v>208945</v>
      </c>
      <c r="P201" s="55">
        <v>208500</v>
      </c>
      <c r="Q201" s="55">
        <v>207844</v>
      </c>
      <c r="R201" s="55">
        <v>207002</v>
      </c>
      <c r="S201" s="55">
        <v>206005</v>
      </c>
      <c r="T201" s="55">
        <v>204875</v>
      </c>
      <c r="U201" s="55">
        <v>203638</v>
      </c>
    </row>
    <row r="202" spans="1:21" x14ac:dyDescent="0.3">
      <c r="A202" s="395" t="s">
        <v>381</v>
      </c>
      <c r="B202" s="392"/>
      <c r="C202" s="55">
        <v>2284947</v>
      </c>
      <c r="D202" s="55">
        <v>2280459</v>
      </c>
      <c r="E202" s="55">
        <v>2272826</v>
      </c>
      <c r="F202" s="55">
        <v>2262162</v>
      </c>
      <c r="G202" s="55">
        <v>2249122</v>
      </c>
      <c r="H202" s="55">
        <v>2234906</v>
      </c>
      <c r="I202" s="55">
        <v>2220482</v>
      </c>
      <c r="J202" s="55">
        <v>2206201</v>
      </c>
      <c r="K202" s="55">
        <v>2192160</v>
      </c>
      <c r="L202" s="55">
        <v>2178189</v>
      </c>
      <c r="M202" s="55">
        <v>2163869</v>
      </c>
      <c r="N202" s="55">
        <v>2148920</v>
      </c>
      <c r="O202" s="55">
        <v>2133355</v>
      </c>
      <c r="P202" s="55">
        <v>2117230</v>
      </c>
      <c r="Q202" s="55">
        <v>2100655</v>
      </c>
      <c r="R202" s="55">
        <v>2083831.0000000002</v>
      </c>
      <c r="S202" s="55">
        <v>2066958</v>
      </c>
      <c r="T202" s="55">
        <v>2050177.0000000002</v>
      </c>
      <c r="U202" s="55">
        <v>2033605</v>
      </c>
    </row>
    <row r="203" spans="1:21" x14ac:dyDescent="0.3">
      <c r="A203" s="395" t="s">
        <v>81</v>
      </c>
      <c r="B203" s="392"/>
      <c r="C203" s="55">
        <v>137231</v>
      </c>
      <c r="D203" s="55">
        <v>136999</v>
      </c>
      <c r="E203" s="55">
        <v>136625</v>
      </c>
      <c r="F203" s="55">
        <v>136086</v>
      </c>
      <c r="G203" s="55">
        <v>135362</v>
      </c>
      <c r="H203" s="55">
        <v>134468</v>
      </c>
      <c r="I203" s="55">
        <v>133429</v>
      </c>
      <c r="J203" s="55">
        <v>132276</v>
      </c>
      <c r="K203" s="55">
        <v>131048</v>
      </c>
      <c r="L203" s="55">
        <v>129787</v>
      </c>
      <c r="M203" s="55">
        <v>128533.99999999999</v>
      </c>
      <c r="N203" s="55">
        <v>127326</v>
      </c>
      <c r="O203" s="55">
        <v>126194</v>
      </c>
      <c r="P203" s="55">
        <v>125159</v>
      </c>
      <c r="Q203" s="55">
        <v>124227</v>
      </c>
      <c r="R203" s="55">
        <v>123379</v>
      </c>
      <c r="S203" s="55">
        <v>122596</v>
      </c>
      <c r="T203" s="55">
        <v>121871</v>
      </c>
      <c r="U203" s="55">
        <v>121194</v>
      </c>
    </row>
    <row r="204" spans="1:21" x14ac:dyDescent="0.3">
      <c r="A204" s="395" t="s">
        <v>382</v>
      </c>
      <c r="B204" s="392"/>
      <c r="C204" s="55">
        <v>78053</v>
      </c>
      <c r="D204" s="55">
        <v>78442</v>
      </c>
      <c r="E204" s="55">
        <v>78718</v>
      </c>
      <c r="F204" s="55">
        <v>78902</v>
      </c>
      <c r="G204" s="55">
        <v>79027</v>
      </c>
      <c r="H204" s="55">
        <v>79134</v>
      </c>
      <c r="I204" s="55">
        <v>79254</v>
      </c>
      <c r="J204" s="55">
        <v>79400</v>
      </c>
      <c r="K204" s="55">
        <v>79571</v>
      </c>
      <c r="L204" s="55">
        <v>79754</v>
      </c>
      <c r="M204" s="55">
        <v>79924</v>
      </c>
      <c r="N204" s="55">
        <v>80061</v>
      </c>
      <c r="O204" s="55">
        <v>80158</v>
      </c>
      <c r="P204" s="55">
        <v>80213</v>
      </c>
      <c r="Q204" s="55">
        <v>80230</v>
      </c>
      <c r="R204" s="55">
        <v>80218</v>
      </c>
      <c r="S204" s="55">
        <v>80184</v>
      </c>
      <c r="T204" s="55">
        <v>80130</v>
      </c>
      <c r="U204" s="55">
        <v>80059</v>
      </c>
    </row>
    <row r="205" spans="1:21" x14ac:dyDescent="0.3">
      <c r="A205" s="396" t="s">
        <v>253</v>
      </c>
      <c r="B205" s="392"/>
      <c r="C205" s="55">
        <v>6689277</v>
      </c>
      <c r="D205" s="55">
        <v>6669865</v>
      </c>
      <c r="E205" s="55">
        <v>6651204</v>
      </c>
      <c r="F205" s="55">
        <v>6630839</v>
      </c>
      <c r="G205" s="55">
        <v>6606605</v>
      </c>
      <c r="H205" s="55">
        <v>6577598</v>
      </c>
      <c r="I205" s="55">
        <v>6543300</v>
      </c>
      <c r="J205" s="55">
        <v>6503362</v>
      </c>
      <c r="K205" s="55">
        <v>6458002</v>
      </c>
      <c r="L205" s="55">
        <v>6408148</v>
      </c>
      <c r="M205" s="55">
        <v>6355646</v>
      </c>
      <c r="N205" s="55">
        <v>6302187</v>
      </c>
      <c r="O205" s="55">
        <v>6248698</v>
      </c>
      <c r="P205" s="55">
        <v>6195882</v>
      </c>
      <c r="Q205" s="55">
        <v>6144058</v>
      </c>
      <c r="R205" s="55">
        <v>6092963</v>
      </c>
      <c r="S205" s="55">
        <v>6042413</v>
      </c>
      <c r="T205" s="55">
        <v>5992546</v>
      </c>
      <c r="U205" s="55">
        <v>5943311</v>
      </c>
    </row>
    <row r="206" spans="1:21" x14ac:dyDescent="0.3">
      <c r="A206" s="395" t="s">
        <v>383</v>
      </c>
      <c r="B206" s="392"/>
      <c r="C206" s="55">
        <v>750031</v>
      </c>
      <c r="D206" s="55">
        <v>752674</v>
      </c>
      <c r="E206" s="55">
        <v>754611</v>
      </c>
      <c r="F206" s="55">
        <v>755743</v>
      </c>
      <c r="G206" s="55">
        <v>756057</v>
      </c>
      <c r="H206" s="55">
        <v>755705</v>
      </c>
      <c r="I206" s="55">
        <v>754851</v>
      </c>
      <c r="J206" s="55">
        <v>753596</v>
      </c>
      <c r="K206" s="55">
        <v>752059</v>
      </c>
      <c r="L206" s="55">
        <v>750359</v>
      </c>
      <c r="M206" s="55">
        <v>748579</v>
      </c>
      <c r="N206" s="55">
        <v>746785</v>
      </c>
      <c r="O206" s="55">
        <v>745025</v>
      </c>
      <c r="P206" s="55">
        <v>743297</v>
      </c>
      <c r="Q206" s="55">
        <v>741554</v>
      </c>
      <c r="R206" s="55">
        <v>739715</v>
      </c>
      <c r="S206" s="55">
        <v>737731</v>
      </c>
      <c r="T206" s="55">
        <v>735610</v>
      </c>
      <c r="U206" s="55">
        <v>733385</v>
      </c>
    </row>
    <row r="207" spans="1:21" x14ac:dyDescent="0.3">
      <c r="A207" s="395" t="s">
        <v>165</v>
      </c>
      <c r="B207" s="392"/>
      <c r="C207" s="55">
        <v>250211</v>
      </c>
      <c r="D207" s="55">
        <v>249496</v>
      </c>
      <c r="E207" s="55">
        <v>248753</v>
      </c>
      <c r="F207" s="55">
        <v>248056</v>
      </c>
      <c r="G207" s="55">
        <v>247497</v>
      </c>
      <c r="H207" s="55">
        <v>247144</v>
      </c>
      <c r="I207" s="55">
        <v>247028</v>
      </c>
      <c r="J207" s="55">
        <v>247145</v>
      </c>
      <c r="K207" s="55">
        <v>247457</v>
      </c>
      <c r="L207" s="55">
        <v>247901</v>
      </c>
      <c r="M207" s="55">
        <v>248378</v>
      </c>
      <c r="N207" s="55">
        <v>248798</v>
      </c>
      <c r="O207" s="55">
        <v>249106</v>
      </c>
      <c r="P207" s="55">
        <v>249257</v>
      </c>
      <c r="Q207" s="55">
        <v>249230</v>
      </c>
      <c r="R207" s="55">
        <v>249051</v>
      </c>
      <c r="S207" s="55">
        <v>248742</v>
      </c>
      <c r="T207" s="55">
        <v>248313</v>
      </c>
      <c r="U207" s="55">
        <v>247778</v>
      </c>
    </row>
    <row r="208" spans="1:21" x14ac:dyDescent="0.3">
      <c r="A208" s="395" t="s">
        <v>168</v>
      </c>
      <c r="B208" s="392"/>
      <c r="C208" s="55">
        <v>2977509</v>
      </c>
      <c r="D208" s="55">
        <v>2971718</v>
      </c>
      <c r="E208" s="55">
        <v>2966854</v>
      </c>
      <c r="F208" s="55">
        <v>2960421</v>
      </c>
      <c r="G208" s="55">
        <v>2950233</v>
      </c>
      <c r="H208" s="55">
        <v>2935394</v>
      </c>
      <c r="I208" s="55">
        <v>2915409</v>
      </c>
      <c r="J208" s="55">
        <v>2889924</v>
      </c>
      <c r="K208" s="55">
        <v>2859135</v>
      </c>
      <c r="L208" s="55">
        <v>2823915</v>
      </c>
      <c r="M208" s="55">
        <v>2786149</v>
      </c>
      <c r="N208" s="55">
        <v>2747608</v>
      </c>
      <c r="O208" s="55">
        <v>2709343</v>
      </c>
      <c r="P208" s="55">
        <v>2672266</v>
      </c>
      <c r="Q208" s="55">
        <v>2636919</v>
      </c>
      <c r="R208" s="55">
        <v>2603174</v>
      </c>
      <c r="S208" s="55">
        <v>2570909</v>
      </c>
      <c r="T208" s="55">
        <v>2540252</v>
      </c>
      <c r="U208" s="55">
        <v>2511123</v>
      </c>
    </row>
    <row r="209" spans="1:21" x14ac:dyDescent="0.3">
      <c r="A209" s="395" t="s">
        <v>384</v>
      </c>
      <c r="B209" s="392"/>
      <c r="C209" s="55">
        <v>248660</v>
      </c>
      <c r="D209" s="55">
        <v>246898</v>
      </c>
      <c r="E209" s="55">
        <v>244303</v>
      </c>
      <c r="F209" s="55">
        <v>241111</v>
      </c>
      <c r="G209" s="55">
        <v>237674</v>
      </c>
      <c r="H209" s="55">
        <v>234365</v>
      </c>
      <c r="I209" s="55">
        <v>231454</v>
      </c>
      <c r="J209" s="55">
        <v>229031</v>
      </c>
      <c r="K209" s="55">
        <v>227040</v>
      </c>
      <c r="L209" s="55">
        <v>225286</v>
      </c>
      <c r="M209" s="55">
        <v>223483</v>
      </c>
      <c r="N209" s="55">
        <v>221433</v>
      </c>
      <c r="O209" s="55">
        <v>219100</v>
      </c>
      <c r="P209" s="55">
        <v>216519</v>
      </c>
      <c r="Q209" s="55">
        <v>213796</v>
      </c>
      <c r="R209" s="55">
        <v>211105</v>
      </c>
      <c r="S209" s="55">
        <v>208591</v>
      </c>
      <c r="T209" s="55">
        <v>206317</v>
      </c>
      <c r="U209" s="55">
        <v>204318</v>
      </c>
    </row>
    <row r="210" spans="1:21" x14ac:dyDescent="0.3">
      <c r="A210" s="395" t="s">
        <v>175</v>
      </c>
      <c r="B210" s="392"/>
      <c r="C210" s="55">
        <v>747911</v>
      </c>
      <c r="D210" s="55">
        <v>745155</v>
      </c>
      <c r="E210" s="55">
        <v>743394</v>
      </c>
      <c r="F210" s="55">
        <v>742107</v>
      </c>
      <c r="G210" s="55">
        <v>740777</v>
      </c>
      <c r="H210" s="55">
        <v>738970</v>
      </c>
      <c r="I210" s="55">
        <v>736304</v>
      </c>
      <c r="J210" s="55">
        <v>732473</v>
      </c>
      <c r="K210" s="55">
        <v>727212</v>
      </c>
      <c r="L210" s="55">
        <v>720417</v>
      </c>
      <c r="M210" s="55">
        <v>712380</v>
      </c>
      <c r="N210" s="55">
        <v>703451</v>
      </c>
      <c r="O210" s="55">
        <v>693870</v>
      </c>
      <c r="P210" s="55">
        <v>683961</v>
      </c>
      <c r="Q210" s="55">
        <v>674056</v>
      </c>
      <c r="R210" s="55">
        <v>664428</v>
      </c>
      <c r="S210" s="55">
        <v>655299</v>
      </c>
      <c r="T210" s="55">
        <v>646825</v>
      </c>
      <c r="U210" s="55">
        <v>639060</v>
      </c>
    </row>
    <row r="211" spans="1:21" x14ac:dyDescent="0.3">
      <c r="A211" s="395" t="s">
        <v>182</v>
      </c>
      <c r="B211" s="392"/>
      <c r="C211" s="55">
        <v>326333</v>
      </c>
      <c r="D211" s="55">
        <v>328465</v>
      </c>
      <c r="E211" s="55">
        <v>330539</v>
      </c>
      <c r="F211" s="55">
        <v>332442</v>
      </c>
      <c r="G211" s="55">
        <v>334090</v>
      </c>
      <c r="H211" s="55">
        <v>335447</v>
      </c>
      <c r="I211" s="55">
        <v>336476</v>
      </c>
      <c r="J211" s="55">
        <v>337131</v>
      </c>
      <c r="K211" s="55">
        <v>337355</v>
      </c>
      <c r="L211" s="55">
        <v>337118</v>
      </c>
      <c r="M211" s="55">
        <v>336468</v>
      </c>
      <c r="N211" s="55">
        <v>335474</v>
      </c>
      <c r="O211" s="55">
        <v>334199</v>
      </c>
      <c r="P211" s="55">
        <v>332719</v>
      </c>
      <c r="Q211" s="55">
        <v>331120</v>
      </c>
      <c r="R211" s="55">
        <v>329476</v>
      </c>
      <c r="S211" s="55">
        <v>327857</v>
      </c>
      <c r="T211" s="55">
        <v>326316</v>
      </c>
      <c r="U211" s="55">
        <v>324886</v>
      </c>
    </row>
    <row r="212" spans="1:21" x14ac:dyDescent="0.3">
      <c r="A212" s="395" t="s">
        <v>385</v>
      </c>
      <c r="B212" s="392"/>
      <c r="C212" s="55">
        <v>6523</v>
      </c>
      <c r="D212" s="55">
        <v>6623</v>
      </c>
      <c r="E212" s="55">
        <v>6731</v>
      </c>
      <c r="F212" s="55">
        <v>6847</v>
      </c>
      <c r="G212" s="55">
        <v>6964</v>
      </c>
      <c r="H212" s="55">
        <v>7078</v>
      </c>
      <c r="I212" s="55">
        <v>7181</v>
      </c>
      <c r="J212" s="55">
        <v>7275</v>
      </c>
      <c r="K212" s="55">
        <v>7359</v>
      </c>
      <c r="L212" s="55">
        <v>7438</v>
      </c>
      <c r="M212" s="55">
        <v>7515</v>
      </c>
      <c r="N212" s="55">
        <v>7595</v>
      </c>
      <c r="O212" s="55">
        <v>7679</v>
      </c>
      <c r="P212" s="55">
        <v>7768</v>
      </c>
      <c r="Q212" s="55">
        <v>7863</v>
      </c>
      <c r="R212" s="55">
        <v>7961</v>
      </c>
      <c r="S212" s="55">
        <v>8060.0000000000009</v>
      </c>
      <c r="T212" s="55">
        <v>8160</v>
      </c>
      <c r="U212" s="55">
        <v>8258</v>
      </c>
    </row>
    <row r="213" spans="1:21" x14ac:dyDescent="0.3">
      <c r="A213" s="395" t="s">
        <v>192</v>
      </c>
      <c r="B213" s="392"/>
      <c r="C213" s="55">
        <v>15905</v>
      </c>
      <c r="D213" s="55">
        <v>15900</v>
      </c>
      <c r="E213" s="55">
        <v>15875</v>
      </c>
      <c r="F213" s="55">
        <v>15824</v>
      </c>
      <c r="G213" s="55">
        <v>15746</v>
      </c>
      <c r="H213" s="55">
        <v>15652</v>
      </c>
      <c r="I213" s="55">
        <v>15548</v>
      </c>
      <c r="J213" s="55">
        <v>15436</v>
      </c>
      <c r="K213" s="55">
        <v>15316</v>
      </c>
      <c r="L213" s="55">
        <v>15186</v>
      </c>
      <c r="M213" s="55">
        <v>15047</v>
      </c>
      <c r="N213" s="55">
        <v>14900</v>
      </c>
      <c r="O213" s="55">
        <v>14746</v>
      </c>
      <c r="P213" s="55">
        <v>14588</v>
      </c>
      <c r="Q213" s="55">
        <v>14428</v>
      </c>
      <c r="R213" s="55">
        <v>14267</v>
      </c>
      <c r="S213" s="55">
        <v>14108</v>
      </c>
      <c r="T213" s="55">
        <v>13950</v>
      </c>
      <c r="U213" s="55">
        <v>13794</v>
      </c>
    </row>
    <row r="214" spans="1:21" x14ac:dyDescent="0.3">
      <c r="A214" s="395" t="s">
        <v>206</v>
      </c>
      <c r="B214" s="392"/>
      <c r="C214" s="55">
        <v>140828</v>
      </c>
      <c r="D214" s="55">
        <v>141066</v>
      </c>
      <c r="E214" s="55">
        <v>141428</v>
      </c>
      <c r="F214" s="55">
        <v>141879</v>
      </c>
      <c r="G214" s="55">
        <v>142363</v>
      </c>
      <c r="H214" s="55">
        <v>142801</v>
      </c>
      <c r="I214" s="55">
        <v>143127</v>
      </c>
      <c r="J214" s="55">
        <v>143304</v>
      </c>
      <c r="K214" s="55">
        <v>143305</v>
      </c>
      <c r="L214" s="55">
        <v>143124</v>
      </c>
      <c r="M214" s="55">
        <v>142792</v>
      </c>
      <c r="N214" s="55">
        <v>142342</v>
      </c>
      <c r="O214" s="55">
        <v>141789</v>
      </c>
      <c r="P214" s="55">
        <v>141149</v>
      </c>
      <c r="Q214" s="55">
        <v>140433</v>
      </c>
      <c r="R214" s="55">
        <v>139661</v>
      </c>
      <c r="S214" s="55">
        <v>138851</v>
      </c>
      <c r="T214" s="55">
        <v>138022</v>
      </c>
      <c r="U214" s="55">
        <v>137194</v>
      </c>
    </row>
    <row r="215" spans="1:21" x14ac:dyDescent="0.3">
      <c r="A215" s="395" t="s">
        <v>207</v>
      </c>
      <c r="B215" s="392"/>
      <c r="C215" s="55">
        <v>580934</v>
      </c>
      <c r="D215" s="55">
        <v>574573</v>
      </c>
      <c r="E215" s="55">
        <v>570682</v>
      </c>
      <c r="F215" s="55">
        <v>569290</v>
      </c>
      <c r="G215" s="55">
        <v>569974</v>
      </c>
      <c r="H215" s="55">
        <v>571665</v>
      </c>
      <c r="I215" s="55">
        <v>573394</v>
      </c>
      <c r="J215" s="55">
        <v>574662</v>
      </c>
      <c r="K215" s="55">
        <v>574987</v>
      </c>
      <c r="L215" s="55">
        <v>574057</v>
      </c>
      <c r="M215" s="55">
        <v>571952</v>
      </c>
      <c r="N215" s="55">
        <v>568807</v>
      </c>
      <c r="O215" s="55">
        <v>564669</v>
      </c>
      <c r="P215" s="55">
        <v>559678</v>
      </c>
      <c r="Q215" s="55">
        <v>554064</v>
      </c>
      <c r="R215" s="55">
        <v>548161</v>
      </c>
      <c r="S215" s="55">
        <v>542276</v>
      </c>
      <c r="T215" s="55">
        <v>536602</v>
      </c>
      <c r="U215" s="55">
        <v>531271</v>
      </c>
    </row>
    <row r="216" spans="1:21" x14ac:dyDescent="0.3">
      <c r="A216" s="395" t="s">
        <v>386</v>
      </c>
      <c r="B216" s="392"/>
      <c r="C216" s="55">
        <v>10833</v>
      </c>
      <c r="D216" s="55">
        <v>10823</v>
      </c>
      <c r="E216" s="55">
        <v>10806</v>
      </c>
      <c r="F216" s="55">
        <v>10783</v>
      </c>
      <c r="G216" s="55">
        <v>10752</v>
      </c>
      <c r="H216" s="55">
        <v>10716</v>
      </c>
      <c r="I216" s="55">
        <v>10676</v>
      </c>
      <c r="J216" s="55">
        <v>10633</v>
      </c>
      <c r="K216" s="55">
        <v>10587</v>
      </c>
      <c r="L216" s="55">
        <v>10540</v>
      </c>
      <c r="M216" s="55">
        <v>10490</v>
      </c>
      <c r="N216" s="55">
        <v>10439</v>
      </c>
      <c r="O216" s="55">
        <v>10386</v>
      </c>
      <c r="P216" s="55">
        <v>10333</v>
      </c>
      <c r="Q216" s="55">
        <v>10280</v>
      </c>
      <c r="R216" s="55">
        <v>10226</v>
      </c>
      <c r="S216" s="55">
        <v>10171</v>
      </c>
      <c r="T216" s="55">
        <v>10116</v>
      </c>
      <c r="U216" s="55">
        <v>10060</v>
      </c>
    </row>
    <row r="217" spans="1:21" x14ac:dyDescent="0.3">
      <c r="A217" s="395" t="s">
        <v>387</v>
      </c>
      <c r="B217" s="392"/>
      <c r="C217" s="55">
        <v>48211</v>
      </c>
      <c r="D217" s="55">
        <v>48261</v>
      </c>
      <c r="E217" s="55">
        <v>48281</v>
      </c>
      <c r="F217" s="55">
        <v>48246</v>
      </c>
      <c r="G217" s="55">
        <v>48144</v>
      </c>
      <c r="H217" s="55">
        <v>47987</v>
      </c>
      <c r="I217" s="55">
        <v>47788</v>
      </c>
      <c r="J217" s="55">
        <v>47548</v>
      </c>
      <c r="K217" s="55">
        <v>47274</v>
      </c>
      <c r="L217" s="55">
        <v>46977</v>
      </c>
      <c r="M217" s="55">
        <v>46669</v>
      </c>
      <c r="N217" s="55">
        <v>46360</v>
      </c>
      <c r="O217" s="55">
        <v>46055</v>
      </c>
      <c r="P217" s="55">
        <v>45753</v>
      </c>
      <c r="Q217" s="55">
        <v>45452</v>
      </c>
      <c r="R217" s="55">
        <v>45144</v>
      </c>
      <c r="S217" s="55">
        <v>44825</v>
      </c>
      <c r="T217" s="55">
        <v>44495</v>
      </c>
      <c r="U217" s="55">
        <v>44155</v>
      </c>
    </row>
    <row r="218" spans="1:21" x14ac:dyDescent="0.3">
      <c r="A218" s="395" t="s">
        <v>729</v>
      </c>
      <c r="B218" s="392"/>
      <c r="C218" s="55">
        <v>585357</v>
      </c>
      <c r="D218" s="55">
        <v>578182</v>
      </c>
      <c r="E218" s="55">
        <v>568916</v>
      </c>
      <c r="F218" s="55">
        <v>558059</v>
      </c>
      <c r="G218" s="55">
        <v>546303</v>
      </c>
      <c r="H218" s="55">
        <v>534642</v>
      </c>
      <c r="I218" s="55">
        <v>524032.00000000006</v>
      </c>
      <c r="J218" s="55">
        <v>515171.00000000006</v>
      </c>
      <c r="K218" s="55">
        <v>508883</v>
      </c>
      <c r="L218" s="55">
        <v>505796</v>
      </c>
      <c r="M218" s="55">
        <v>505710</v>
      </c>
      <c r="N218" s="55">
        <v>508161</v>
      </c>
      <c r="O218" s="55">
        <v>512696</v>
      </c>
      <c r="P218" s="55">
        <v>518558.99999999994</v>
      </c>
      <c r="Q218" s="55">
        <v>524829</v>
      </c>
      <c r="R218" s="55">
        <v>530560</v>
      </c>
      <c r="S218" s="55">
        <v>534959</v>
      </c>
      <c r="T218" s="55">
        <v>537534</v>
      </c>
      <c r="U218" s="55">
        <v>537995</v>
      </c>
    </row>
    <row r="219" spans="1:21" x14ac:dyDescent="0.3">
      <c r="A219" s="393" t="s">
        <v>389</v>
      </c>
      <c r="B219" s="392"/>
      <c r="C219" s="55">
        <v>8742468</v>
      </c>
      <c r="D219" s="55">
        <v>8667648</v>
      </c>
      <c r="E219" s="55">
        <v>8609324</v>
      </c>
      <c r="F219" s="55">
        <v>8573426</v>
      </c>
      <c r="G219" s="55">
        <v>8562726</v>
      </c>
      <c r="H219" s="55">
        <v>8573124</v>
      </c>
      <c r="I219" s="55">
        <v>8599896</v>
      </c>
      <c r="J219" s="55">
        <v>8640466</v>
      </c>
      <c r="K219" s="55">
        <v>8691360</v>
      </c>
      <c r="L219" s="55">
        <v>8748610</v>
      </c>
      <c r="M219" s="55">
        <v>8807750</v>
      </c>
      <c r="N219" s="55">
        <v>8864514</v>
      </c>
      <c r="O219" s="55">
        <v>8915636</v>
      </c>
      <c r="P219" s="55">
        <v>8958486</v>
      </c>
      <c r="Q219" s="55">
        <v>8991912</v>
      </c>
      <c r="R219" s="55">
        <v>9017440</v>
      </c>
      <c r="S219" s="55">
        <v>9036608</v>
      </c>
      <c r="T219" s="55">
        <v>9049850</v>
      </c>
      <c r="U219" s="55">
        <v>9057960</v>
      </c>
    </row>
    <row r="220" spans="1:21" x14ac:dyDescent="0.3">
      <c r="A220" s="395" t="s">
        <v>390</v>
      </c>
      <c r="B220" s="392"/>
      <c r="C220" s="55">
        <v>383469</v>
      </c>
      <c r="D220" s="55">
        <v>384555</v>
      </c>
      <c r="E220" s="55">
        <v>385216</v>
      </c>
      <c r="F220" s="55">
        <v>385607</v>
      </c>
      <c r="G220" s="55">
        <v>385857</v>
      </c>
      <c r="H220" s="55">
        <v>386036</v>
      </c>
      <c r="I220" s="55">
        <v>386213</v>
      </c>
      <c r="J220" s="55">
        <v>386464</v>
      </c>
      <c r="K220" s="55">
        <v>386828</v>
      </c>
      <c r="L220" s="55">
        <v>387294</v>
      </c>
      <c r="M220" s="55">
        <v>387796</v>
      </c>
      <c r="N220" s="55">
        <v>388285</v>
      </c>
      <c r="O220" s="55">
        <v>388763</v>
      </c>
      <c r="P220" s="55">
        <v>389219</v>
      </c>
      <c r="Q220" s="55">
        <v>389642</v>
      </c>
      <c r="R220" s="55">
        <v>390048</v>
      </c>
      <c r="S220" s="55">
        <v>390468</v>
      </c>
      <c r="T220" s="55">
        <v>390937</v>
      </c>
      <c r="U220" s="55">
        <v>391504</v>
      </c>
    </row>
    <row r="221" spans="1:21" x14ac:dyDescent="0.3">
      <c r="A221" s="395" t="s">
        <v>391</v>
      </c>
      <c r="B221" s="392"/>
      <c r="C221" s="55">
        <v>3986281</v>
      </c>
      <c r="D221" s="55">
        <v>3947817</v>
      </c>
      <c r="E221" s="55">
        <v>3918023</v>
      </c>
      <c r="F221" s="55">
        <v>3899711</v>
      </c>
      <c r="G221" s="55">
        <v>3894135</v>
      </c>
      <c r="H221" s="55">
        <v>3899175</v>
      </c>
      <c r="I221" s="55">
        <v>3912402</v>
      </c>
      <c r="J221" s="55">
        <v>3932450</v>
      </c>
      <c r="K221" s="55">
        <v>3957544</v>
      </c>
      <c r="L221" s="55">
        <v>3985712</v>
      </c>
      <c r="M221" s="55">
        <v>4014786</v>
      </c>
      <c r="N221" s="55">
        <v>4042686</v>
      </c>
      <c r="O221" s="55">
        <v>4067774</v>
      </c>
      <c r="P221" s="55">
        <v>4088749</v>
      </c>
      <c r="Q221" s="55">
        <v>4105045</v>
      </c>
      <c r="R221" s="55">
        <v>4117408.9999999995</v>
      </c>
      <c r="S221" s="55">
        <v>4126578.0000000005</v>
      </c>
      <c r="T221" s="55">
        <v>4132737</v>
      </c>
      <c r="U221" s="55">
        <v>4136232</v>
      </c>
    </row>
    <row r="222" spans="1:21" x14ac:dyDescent="0.3">
      <c r="A222" s="393" t="s">
        <v>392</v>
      </c>
      <c r="B222" s="392"/>
      <c r="C222" s="55">
        <v>668706</v>
      </c>
      <c r="D222" s="55">
        <v>672359</v>
      </c>
      <c r="E222" s="55">
        <v>675882</v>
      </c>
      <c r="F222" s="55">
        <v>679336</v>
      </c>
      <c r="G222" s="55">
        <v>682667</v>
      </c>
      <c r="H222" s="55">
        <v>685720</v>
      </c>
      <c r="I222" s="55">
        <v>688390</v>
      </c>
      <c r="J222" s="55">
        <v>690709</v>
      </c>
      <c r="K222" s="55">
        <v>692695</v>
      </c>
      <c r="L222" s="55">
        <v>694381</v>
      </c>
      <c r="M222" s="55">
        <v>695843</v>
      </c>
      <c r="N222" s="55">
        <v>697181</v>
      </c>
      <c r="O222" s="55">
        <v>698473</v>
      </c>
      <c r="P222" s="55">
        <v>699803</v>
      </c>
      <c r="Q222" s="55">
        <v>701226</v>
      </c>
      <c r="R222" s="55">
        <v>702777</v>
      </c>
      <c r="S222" s="55">
        <v>704483</v>
      </c>
      <c r="T222" s="55">
        <v>706395</v>
      </c>
      <c r="U222" s="55">
        <v>708544</v>
      </c>
    </row>
    <row r="223" spans="1:21" x14ac:dyDescent="0.3">
      <c r="A223" s="396" t="s">
        <v>393</v>
      </c>
      <c r="B223" s="392"/>
      <c r="C223" s="55">
        <v>370519</v>
      </c>
      <c r="D223" s="55">
        <v>372225</v>
      </c>
      <c r="E223" s="55">
        <v>373771</v>
      </c>
      <c r="F223" s="55">
        <v>375215</v>
      </c>
      <c r="G223" s="55">
        <v>376502</v>
      </c>
      <c r="H223" s="55">
        <v>377487</v>
      </c>
      <c r="I223" s="55">
        <v>378076</v>
      </c>
      <c r="J223" s="55">
        <v>378290</v>
      </c>
      <c r="K223" s="55">
        <v>378149</v>
      </c>
      <c r="L223" s="55">
        <v>377676</v>
      </c>
      <c r="M223" s="55">
        <v>376951</v>
      </c>
      <c r="N223" s="55">
        <v>376068</v>
      </c>
      <c r="O223" s="55">
        <v>375120</v>
      </c>
      <c r="P223" s="55">
        <v>374185</v>
      </c>
      <c r="Q223" s="55">
        <v>373324</v>
      </c>
      <c r="R223" s="55">
        <v>372577</v>
      </c>
      <c r="S223" s="55">
        <v>371999</v>
      </c>
      <c r="T223" s="55">
        <v>371657</v>
      </c>
      <c r="U223" s="55">
        <v>371612</v>
      </c>
    </row>
    <row r="224" spans="1:21" x14ac:dyDescent="0.3">
      <c r="A224" s="395" t="s">
        <v>394</v>
      </c>
      <c r="B224" s="392"/>
      <c r="C224" s="55">
        <v>308376</v>
      </c>
      <c r="D224" s="55">
        <v>310710</v>
      </c>
      <c r="E224" s="55">
        <v>312847</v>
      </c>
      <c r="F224" s="55">
        <v>314781</v>
      </c>
      <c r="G224" s="55">
        <v>316424</v>
      </c>
      <c r="H224" s="55">
        <v>317647</v>
      </c>
      <c r="I224" s="55">
        <v>318379</v>
      </c>
      <c r="J224" s="55">
        <v>318644</v>
      </c>
      <c r="K224" s="55">
        <v>318478</v>
      </c>
      <c r="L224" s="55">
        <v>317933</v>
      </c>
      <c r="M224" s="55">
        <v>317124</v>
      </c>
      <c r="N224" s="55">
        <v>316177</v>
      </c>
      <c r="O224" s="55">
        <v>315199</v>
      </c>
      <c r="P224" s="55">
        <v>314282</v>
      </c>
      <c r="Q224" s="55">
        <v>313485</v>
      </c>
      <c r="R224" s="55">
        <v>312836</v>
      </c>
      <c r="S224" s="55">
        <v>312373</v>
      </c>
      <c r="T224" s="55">
        <v>312159</v>
      </c>
      <c r="U224" s="55">
        <v>312247</v>
      </c>
    </row>
    <row r="225" spans="1:21" x14ac:dyDescent="0.3">
      <c r="A225" s="395" t="s">
        <v>395</v>
      </c>
      <c r="B225" s="392"/>
      <c r="C225" s="55">
        <v>62143</v>
      </c>
      <c r="D225" s="55">
        <v>61515</v>
      </c>
      <c r="E225" s="55">
        <v>60924</v>
      </c>
      <c r="F225" s="55">
        <v>60434</v>
      </c>
      <c r="G225" s="55">
        <v>60078</v>
      </c>
      <c r="H225" s="55">
        <v>59840</v>
      </c>
      <c r="I225" s="55">
        <v>59697</v>
      </c>
      <c r="J225" s="55">
        <v>59646</v>
      </c>
      <c r="K225" s="55">
        <v>59671</v>
      </c>
      <c r="L225" s="55">
        <v>59743</v>
      </c>
      <c r="M225" s="55">
        <v>59827</v>
      </c>
      <c r="N225" s="55">
        <v>59891</v>
      </c>
      <c r="O225" s="55">
        <v>59921</v>
      </c>
      <c r="P225" s="55">
        <v>59903</v>
      </c>
      <c r="Q225" s="55">
        <v>59839</v>
      </c>
      <c r="R225" s="55">
        <v>59741</v>
      </c>
      <c r="S225" s="55">
        <v>59626</v>
      </c>
      <c r="T225" s="55">
        <v>59498</v>
      </c>
      <c r="U225" s="55">
        <v>59365</v>
      </c>
    </row>
    <row r="226" spans="1:21" x14ac:dyDescent="0.3">
      <c r="A226" s="396" t="s">
        <v>396</v>
      </c>
      <c r="B226" s="392"/>
      <c r="C226" s="55">
        <v>272497</v>
      </c>
      <c r="D226" s="55">
        <v>274737</v>
      </c>
      <c r="E226" s="55">
        <v>276980</v>
      </c>
      <c r="F226" s="55">
        <v>279223</v>
      </c>
      <c r="G226" s="55">
        <v>281462</v>
      </c>
      <c r="H226" s="55">
        <v>283690</v>
      </c>
      <c r="I226" s="55">
        <v>285904</v>
      </c>
      <c r="J226" s="55">
        <v>288108</v>
      </c>
      <c r="K226" s="55">
        <v>290311</v>
      </c>
      <c r="L226" s="55">
        <v>292521</v>
      </c>
      <c r="M226" s="55">
        <v>294744</v>
      </c>
      <c r="N226" s="55">
        <v>296989</v>
      </c>
      <c r="O226" s="55">
        <v>299249</v>
      </c>
      <c r="P226" s="55">
        <v>301530</v>
      </c>
      <c r="Q226" s="55">
        <v>303832</v>
      </c>
      <c r="R226" s="55">
        <v>306145</v>
      </c>
      <c r="S226" s="55">
        <v>308449</v>
      </c>
      <c r="T226" s="55">
        <v>310725</v>
      </c>
      <c r="U226" s="55">
        <v>312946</v>
      </c>
    </row>
    <row r="227" spans="1:21" x14ac:dyDescent="0.3">
      <c r="A227" s="395" t="s">
        <v>397</v>
      </c>
      <c r="B227" s="392"/>
      <c r="C227" s="55">
        <v>19157</v>
      </c>
      <c r="D227" s="55">
        <v>19204</v>
      </c>
      <c r="E227" s="55">
        <v>19219</v>
      </c>
      <c r="F227" s="55">
        <v>19191</v>
      </c>
      <c r="G227" s="55">
        <v>19114</v>
      </c>
      <c r="H227" s="55">
        <v>18995</v>
      </c>
      <c r="I227" s="55">
        <v>18843</v>
      </c>
      <c r="J227" s="55">
        <v>18665</v>
      </c>
      <c r="K227" s="55">
        <v>18472</v>
      </c>
      <c r="L227" s="55">
        <v>18272</v>
      </c>
      <c r="M227" s="55">
        <v>18077</v>
      </c>
      <c r="N227" s="55">
        <v>17898</v>
      </c>
      <c r="O227" s="55">
        <v>17741</v>
      </c>
      <c r="P227" s="55">
        <v>17612</v>
      </c>
      <c r="Q227" s="55">
        <v>17515</v>
      </c>
      <c r="R227" s="55">
        <v>17444</v>
      </c>
      <c r="S227" s="55">
        <v>17393</v>
      </c>
      <c r="T227" s="55">
        <v>17360</v>
      </c>
      <c r="U227" s="55">
        <v>17341</v>
      </c>
    </row>
    <row r="228" spans="1:21" x14ac:dyDescent="0.3">
      <c r="A228" s="395" t="s">
        <v>398</v>
      </c>
      <c r="B228" s="392"/>
      <c r="C228" s="55">
        <v>4336</v>
      </c>
      <c r="D228" s="55">
        <v>4283</v>
      </c>
      <c r="E228" s="55">
        <v>4220</v>
      </c>
      <c r="F228" s="55">
        <v>4152</v>
      </c>
      <c r="G228" s="55">
        <v>4086.0000000000005</v>
      </c>
      <c r="H228" s="55">
        <v>4029</v>
      </c>
      <c r="I228" s="55">
        <v>3984</v>
      </c>
      <c r="J228" s="55">
        <v>3953</v>
      </c>
      <c r="K228" s="55">
        <v>3938</v>
      </c>
      <c r="L228" s="55">
        <v>3935</v>
      </c>
      <c r="M228" s="55">
        <v>3938</v>
      </c>
      <c r="N228" s="55">
        <v>3945</v>
      </c>
      <c r="O228" s="55">
        <v>3951</v>
      </c>
      <c r="P228" s="55">
        <v>3957</v>
      </c>
      <c r="Q228" s="55">
        <v>3963</v>
      </c>
      <c r="R228" s="55">
        <v>3969</v>
      </c>
      <c r="S228" s="55">
        <v>3976</v>
      </c>
      <c r="T228" s="55">
        <v>3983</v>
      </c>
      <c r="U228" s="55">
        <v>3990</v>
      </c>
    </row>
    <row r="229" spans="1:21" x14ac:dyDescent="0.3">
      <c r="A229" s="395" t="s">
        <v>82</v>
      </c>
      <c r="B229" s="392"/>
      <c r="C229" s="55">
        <v>222065</v>
      </c>
      <c r="D229" s="55">
        <v>223715</v>
      </c>
      <c r="E229" s="55">
        <v>225441</v>
      </c>
      <c r="F229" s="55">
        <v>227262</v>
      </c>
      <c r="G229" s="55">
        <v>229185</v>
      </c>
      <c r="H229" s="55">
        <v>231187</v>
      </c>
      <c r="I229" s="55">
        <v>233244</v>
      </c>
      <c r="J229" s="55">
        <v>235345</v>
      </c>
      <c r="K229" s="55">
        <v>237474</v>
      </c>
      <c r="L229" s="55">
        <v>239622</v>
      </c>
      <c r="M229" s="55">
        <v>241771</v>
      </c>
      <c r="N229" s="55">
        <v>243906</v>
      </c>
      <c r="O229" s="55">
        <v>246008</v>
      </c>
      <c r="P229" s="55">
        <v>248067</v>
      </c>
      <c r="Q229" s="55">
        <v>250078</v>
      </c>
      <c r="R229" s="55">
        <v>252040</v>
      </c>
      <c r="S229" s="55">
        <v>253947</v>
      </c>
      <c r="T229" s="55">
        <v>255785</v>
      </c>
      <c r="U229" s="55">
        <v>257533.00000000003</v>
      </c>
    </row>
    <row r="230" spans="1:21" x14ac:dyDescent="0.3">
      <c r="A230" s="395" t="s">
        <v>46</v>
      </c>
      <c r="B230" s="392"/>
      <c r="C230" s="55">
        <v>18979</v>
      </c>
      <c r="D230" s="55">
        <v>19437</v>
      </c>
      <c r="E230" s="55">
        <v>19872</v>
      </c>
      <c r="F230" s="55">
        <v>20268</v>
      </c>
      <c r="G230" s="55">
        <v>20616</v>
      </c>
      <c r="H230" s="55">
        <v>20916</v>
      </c>
      <c r="I230" s="55">
        <v>21174</v>
      </c>
      <c r="J230" s="55">
        <v>21395</v>
      </c>
      <c r="K230" s="55">
        <v>21589</v>
      </c>
      <c r="L230" s="55">
        <v>21767</v>
      </c>
      <c r="M230" s="55">
        <v>21946</v>
      </c>
      <c r="N230" s="55">
        <v>22137</v>
      </c>
      <c r="O230" s="55">
        <v>22351</v>
      </c>
      <c r="P230" s="55">
        <v>22595</v>
      </c>
      <c r="Q230" s="55">
        <v>22870</v>
      </c>
      <c r="R230" s="55">
        <v>23173</v>
      </c>
      <c r="S230" s="55">
        <v>23496</v>
      </c>
      <c r="T230" s="55">
        <v>23838</v>
      </c>
      <c r="U230" s="55">
        <v>24198</v>
      </c>
    </row>
    <row r="231" spans="1:21" x14ac:dyDescent="0.3">
      <c r="A231" s="395" t="s">
        <v>399</v>
      </c>
      <c r="B231" s="392"/>
      <c r="C231" s="55">
        <v>7960</v>
      </c>
      <c r="D231" s="55">
        <v>8098.0000000000009</v>
      </c>
      <c r="E231" s="55">
        <v>8228</v>
      </c>
      <c r="F231" s="55">
        <v>8350</v>
      </c>
      <c r="G231" s="55">
        <v>8461</v>
      </c>
      <c r="H231" s="55">
        <v>8563</v>
      </c>
      <c r="I231" s="55">
        <v>8659</v>
      </c>
      <c r="J231" s="55">
        <v>8750</v>
      </c>
      <c r="K231" s="55">
        <v>8838</v>
      </c>
      <c r="L231" s="55">
        <v>8925</v>
      </c>
      <c r="M231" s="55">
        <v>9012</v>
      </c>
      <c r="N231" s="55">
        <v>9103</v>
      </c>
      <c r="O231" s="55">
        <v>9198</v>
      </c>
      <c r="P231" s="55">
        <v>9299</v>
      </c>
      <c r="Q231" s="55">
        <v>9406</v>
      </c>
      <c r="R231" s="55">
        <v>9519</v>
      </c>
      <c r="S231" s="55">
        <v>9637</v>
      </c>
      <c r="T231" s="55">
        <v>9759</v>
      </c>
      <c r="U231" s="55">
        <v>9884</v>
      </c>
    </row>
    <row r="232" spans="1:21" x14ac:dyDescent="0.3">
      <c r="A232" s="396" t="s">
        <v>400</v>
      </c>
      <c r="B232" s="392"/>
      <c r="C232" s="55">
        <v>11462</v>
      </c>
      <c r="D232" s="55">
        <v>11384</v>
      </c>
      <c r="E232" s="55">
        <v>11321</v>
      </c>
      <c r="F232" s="55">
        <v>11273</v>
      </c>
      <c r="G232" s="55">
        <v>11241</v>
      </c>
      <c r="H232" s="55">
        <v>11222</v>
      </c>
      <c r="I232" s="55">
        <v>11211</v>
      </c>
      <c r="J232" s="55">
        <v>11209</v>
      </c>
      <c r="K232" s="55">
        <v>11212</v>
      </c>
      <c r="L232" s="55">
        <v>11219</v>
      </c>
      <c r="M232" s="55">
        <v>11224</v>
      </c>
      <c r="N232" s="55">
        <v>11228</v>
      </c>
      <c r="O232" s="55">
        <v>11230</v>
      </c>
      <c r="P232" s="55">
        <v>11227</v>
      </c>
      <c r="Q232" s="55">
        <v>11216</v>
      </c>
      <c r="R232" s="55">
        <v>11201</v>
      </c>
      <c r="S232" s="55">
        <v>11177</v>
      </c>
      <c r="T232" s="55">
        <v>11148</v>
      </c>
      <c r="U232" s="55">
        <v>11113</v>
      </c>
    </row>
    <row r="233" spans="1:21" x14ac:dyDescent="0.3">
      <c r="A233" s="395" t="s">
        <v>401</v>
      </c>
      <c r="B233" s="392"/>
      <c r="C233" s="55">
        <v>2802</v>
      </c>
      <c r="D233" s="55">
        <v>2788</v>
      </c>
      <c r="E233" s="55">
        <v>2776</v>
      </c>
      <c r="F233" s="55">
        <v>2765</v>
      </c>
      <c r="G233" s="55">
        <v>2757</v>
      </c>
      <c r="H233" s="55">
        <v>2753</v>
      </c>
      <c r="I233" s="55">
        <v>2751</v>
      </c>
      <c r="J233" s="55">
        <v>2753</v>
      </c>
      <c r="K233" s="55">
        <v>2756</v>
      </c>
      <c r="L233" s="55">
        <v>2760</v>
      </c>
      <c r="M233" s="55">
        <v>2763</v>
      </c>
      <c r="N233" s="55">
        <v>2763</v>
      </c>
      <c r="O233" s="55">
        <v>2761</v>
      </c>
      <c r="P233" s="55">
        <v>2755</v>
      </c>
      <c r="Q233" s="55">
        <v>2747</v>
      </c>
      <c r="R233" s="55">
        <v>2735</v>
      </c>
      <c r="S233" s="55">
        <v>2721</v>
      </c>
      <c r="T233" s="55">
        <v>2706</v>
      </c>
      <c r="U233" s="55">
        <v>2688</v>
      </c>
    </row>
    <row r="234" spans="1:21" x14ac:dyDescent="0.3">
      <c r="A234" s="395" t="s">
        <v>402</v>
      </c>
      <c r="B234" s="392"/>
      <c r="C234" s="55">
        <v>3131</v>
      </c>
      <c r="D234" s="55">
        <v>3169</v>
      </c>
      <c r="E234" s="55">
        <v>3198</v>
      </c>
      <c r="F234" s="55">
        <v>3219</v>
      </c>
      <c r="G234" s="55">
        <v>3231</v>
      </c>
      <c r="H234" s="55">
        <v>3237</v>
      </c>
      <c r="I234" s="55">
        <v>3239</v>
      </c>
      <c r="J234" s="55">
        <v>3237</v>
      </c>
      <c r="K234" s="55">
        <v>3233</v>
      </c>
      <c r="L234" s="55">
        <v>3227</v>
      </c>
      <c r="M234" s="55">
        <v>3218</v>
      </c>
      <c r="N234" s="55">
        <v>3208</v>
      </c>
      <c r="O234" s="55">
        <v>3198</v>
      </c>
      <c r="P234" s="55">
        <v>3187</v>
      </c>
      <c r="Q234" s="55">
        <v>3177</v>
      </c>
      <c r="R234" s="55">
        <v>3167</v>
      </c>
      <c r="S234" s="55">
        <v>3158</v>
      </c>
      <c r="T234" s="55">
        <v>3151</v>
      </c>
      <c r="U234" s="55">
        <v>3148</v>
      </c>
    </row>
    <row r="235" spans="1:21" x14ac:dyDescent="0.3">
      <c r="A235" s="395" t="s">
        <v>403</v>
      </c>
      <c r="B235" s="392"/>
      <c r="C235" s="55">
        <v>2501</v>
      </c>
      <c r="D235" s="55">
        <v>2503</v>
      </c>
      <c r="E235" s="55">
        <v>2509</v>
      </c>
      <c r="F235" s="55">
        <v>2520</v>
      </c>
      <c r="G235" s="55">
        <v>2533</v>
      </c>
      <c r="H235" s="55">
        <v>2549</v>
      </c>
      <c r="I235" s="55">
        <v>2566</v>
      </c>
      <c r="J235" s="55">
        <v>2584</v>
      </c>
      <c r="K235" s="55">
        <v>2601</v>
      </c>
      <c r="L235" s="55">
        <v>2616</v>
      </c>
      <c r="M235" s="55">
        <v>2629</v>
      </c>
      <c r="N235" s="55">
        <v>2640</v>
      </c>
      <c r="O235" s="55">
        <v>2647</v>
      </c>
      <c r="P235" s="55">
        <v>2650</v>
      </c>
      <c r="Q235" s="55">
        <v>2647</v>
      </c>
      <c r="R235" s="55">
        <v>2640</v>
      </c>
      <c r="S235" s="55">
        <v>2628</v>
      </c>
      <c r="T235" s="55">
        <v>2611</v>
      </c>
      <c r="U235" s="55">
        <v>2590</v>
      </c>
    </row>
    <row r="236" spans="1:21" x14ac:dyDescent="0.3">
      <c r="A236" s="396" t="s">
        <v>404</v>
      </c>
      <c r="B236" s="392"/>
      <c r="C236" s="55">
        <v>14228</v>
      </c>
      <c r="D236" s="55">
        <v>14013</v>
      </c>
      <c r="E236" s="55">
        <v>13810</v>
      </c>
      <c r="F236" s="55">
        <v>13625</v>
      </c>
      <c r="G236" s="55">
        <v>13462</v>
      </c>
      <c r="H236" s="55">
        <v>13321</v>
      </c>
      <c r="I236" s="55">
        <v>13199</v>
      </c>
      <c r="J236" s="55">
        <v>13102</v>
      </c>
      <c r="K236" s="55">
        <v>13023</v>
      </c>
      <c r="L236" s="55">
        <v>12965</v>
      </c>
      <c r="M236" s="55">
        <v>12924</v>
      </c>
      <c r="N236" s="55">
        <v>12896</v>
      </c>
      <c r="O236" s="55">
        <v>12874</v>
      </c>
      <c r="P236" s="55">
        <v>12861</v>
      </c>
      <c r="Q236" s="55">
        <v>12854</v>
      </c>
      <c r="R236" s="55">
        <v>12854</v>
      </c>
      <c r="S236" s="55">
        <v>12858</v>
      </c>
      <c r="T236" s="55">
        <v>12865</v>
      </c>
      <c r="U236" s="55">
        <v>12873</v>
      </c>
    </row>
    <row r="237" spans="1:21" x14ac:dyDescent="0.3">
      <c r="A237" s="395" t="s">
        <v>405</v>
      </c>
      <c r="B237" s="392"/>
      <c r="C237" s="55">
        <v>4382</v>
      </c>
      <c r="D237" s="55">
        <v>4331</v>
      </c>
      <c r="E237" s="55">
        <v>4281</v>
      </c>
      <c r="F237" s="55">
        <v>4230</v>
      </c>
      <c r="G237" s="55">
        <v>4180</v>
      </c>
      <c r="H237" s="55">
        <v>4130</v>
      </c>
      <c r="I237" s="55">
        <v>4080</v>
      </c>
      <c r="J237" s="55">
        <v>4030.9999999999995</v>
      </c>
      <c r="K237" s="55">
        <v>3983</v>
      </c>
      <c r="L237" s="55">
        <v>3937</v>
      </c>
      <c r="M237" s="55">
        <v>3892</v>
      </c>
      <c r="N237" s="55">
        <v>3851</v>
      </c>
      <c r="O237" s="55">
        <v>3811</v>
      </c>
      <c r="P237" s="55">
        <v>3775</v>
      </c>
      <c r="Q237" s="55">
        <v>3741</v>
      </c>
      <c r="R237" s="55">
        <v>3708</v>
      </c>
      <c r="S237" s="55">
        <v>3678</v>
      </c>
      <c r="T237" s="55">
        <v>3649</v>
      </c>
      <c r="U237" s="55">
        <v>3621</v>
      </c>
    </row>
    <row r="238" spans="1:21" x14ac:dyDescent="0.3">
      <c r="A238" s="395" t="s">
        <v>406</v>
      </c>
      <c r="B238" s="392"/>
      <c r="C238" s="55">
        <v>5083</v>
      </c>
      <c r="D238" s="55">
        <v>5016</v>
      </c>
      <c r="E238" s="55">
        <v>4955</v>
      </c>
      <c r="F238" s="55">
        <v>4902</v>
      </c>
      <c r="G238" s="55">
        <v>4858</v>
      </c>
      <c r="H238" s="55">
        <v>4823</v>
      </c>
      <c r="I238" s="55">
        <v>4794</v>
      </c>
      <c r="J238" s="55">
        <v>4774</v>
      </c>
      <c r="K238" s="55">
        <v>4761</v>
      </c>
      <c r="L238" s="55">
        <v>4757</v>
      </c>
      <c r="M238" s="55">
        <v>4761</v>
      </c>
      <c r="N238" s="55">
        <v>4771</v>
      </c>
      <c r="O238" s="55">
        <v>4788</v>
      </c>
      <c r="P238" s="55">
        <v>4810</v>
      </c>
      <c r="Q238" s="55">
        <v>4837</v>
      </c>
      <c r="R238" s="55">
        <v>4869</v>
      </c>
      <c r="S238" s="55">
        <v>4904</v>
      </c>
      <c r="T238" s="55">
        <v>4942</v>
      </c>
      <c r="U238" s="55">
        <v>4982</v>
      </c>
    </row>
    <row r="239" spans="1:21" x14ac:dyDescent="0.3">
      <c r="A239" s="395" t="s">
        <v>407</v>
      </c>
      <c r="B239" s="392"/>
      <c r="C239" s="55">
        <v>2726</v>
      </c>
      <c r="D239" s="55">
        <v>2680</v>
      </c>
      <c r="E239" s="55">
        <v>2637</v>
      </c>
      <c r="F239" s="55">
        <v>2598</v>
      </c>
      <c r="G239" s="55">
        <v>2565</v>
      </c>
      <c r="H239" s="55">
        <v>2540</v>
      </c>
      <c r="I239" s="55">
        <v>2520</v>
      </c>
      <c r="J239" s="55">
        <v>2508</v>
      </c>
      <c r="K239" s="55">
        <v>2502</v>
      </c>
      <c r="L239" s="55">
        <v>2503</v>
      </c>
      <c r="M239" s="55">
        <v>2509</v>
      </c>
      <c r="N239" s="55">
        <v>2518</v>
      </c>
      <c r="O239" s="55">
        <v>2529</v>
      </c>
      <c r="P239" s="55">
        <v>2541</v>
      </c>
      <c r="Q239" s="55">
        <v>2555</v>
      </c>
      <c r="R239" s="55">
        <v>2570</v>
      </c>
      <c r="S239" s="55">
        <v>2585</v>
      </c>
      <c r="T239" s="55">
        <v>2600</v>
      </c>
      <c r="U239" s="55">
        <v>2614</v>
      </c>
    </row>
    <row r="242" spans="1:1" x14ac:dyDescent="0.3">
      <c r="A242" s="54" t="s">
        <v>876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67F4-2E34-4B75-A01B-221CCE090EF6}">
  <sheetPr codeName="Sheet21">
    <tabColor rgb="FFC00000"/>
  </sheetPr>
  <dimension ref="A1:AG209"/>
  <sheetViews>
    <sheetView workbookViewId="0">
      <pane xSplit="2" ySplit="2" topLeftCell="C138" activePane="bottomRight" state="frozen"/>
      <selection pane="topRight" activeCell="C1" sqref="C1"/>
      <selection pane="bottomLeft" activeCell="A3" sqref="A3"/>
      <selection pane="bottomRight" activeCell="C138" sqref="C138"/>
    </sheetView>
  </sheetViews>
  <sheetFormatPr defaultColWidth="9.109375" defaultRowHeight="14.4" x14ac:dyDescent="0.3"/>
  <cols>
    <col min="1" max="2" width="27" style="196" customWidth="1"/>
    <col min="3" max="4" width="13.44140625" style="11" customWidth="1"/>
    <col min="5" max="5" width="13.44140625" style="3" customWidth="1"/>
    <col min="6" max="33" width="13.44140625" style="11" customWidth="1"/>
    <col min="34" max="16384" width="9.109375" style="11"/>
  </cols>
  <sheetData>
    <row r="1" spans="1:33" x14ac:dyDescent="0.3">
      <c r="A1" s="30" t="s">
        <v>985</v>
      </c>
      <c r="B1" s="30" t="s">
        <v>986</v>
      </c>
      <c r="E1" s="11"/>
    </row>
    <row r="2" spans="1:33" s="635" customFormat="1" x14ac:dyDescent="0.3">
      <c r="A2" s="632"/>
      <c r="B2" s="632"/>
      <c r="C2" s="633">
        <v>2000</v>
      </c>
      <c r="D2" s="634">
        <v>2001</v>
      </c>
      <c r="E2" s="633">
        <v>2002</v>
      </c>
      <c r="F2" s="634">
        <v>2003</v>
      </c>
      <c r="G2" s="633">
        <v>2004</v>
      </c>
      <c r="H2" s="634">
        <v>2005</v>
      </c>
      <c r="I2" s="633">
        <v>2006</v>
      </c>
      <c r="J2" s="634">
        <v>2007</v>
      </c>
      <c r="K2" s="633">
        <v>2008</v>
      </c>
      <c r="L2" s="634">
        <v>2009</v>
      </c>
      <c r="M2" s="633">
        <v>2010</v>
      </c>
      <c r="N2" s="634">
        <v>2011</v>
      </c>
      <c r="O2" s="634">
        <v>2012</v>
      </c>
      <c r="P2" s="633">
        <v>2013</v>
      </c>
      <c r="Q2" s="634">
        <v>2014</v>
      </c>
      <c r="R2" s="634">
        <v>2015</v>
      </c>
      <c r="S2" s="633">
        <v>2016</v>
      </c>
      <c r="T2" s="634">
        <v>2017</v>
      </c>
      <c r="U2" s="634">
        <v>2018</v>
      </c>
      <c r="V2" s="633">
        <v>2019</v>
      </c>
      <c r="W2" s="634">
        <v>2020</v>
      </c>
      <c r="X2" s="634">
        <v>2021</v>
      </c>
      <c r="Y2" s="633">
        <v>2022</v>
      </c>
      <c r="Z2" s="634">
        <v>2023</v>
      </c>
      <c r="AA2" s="634">
        <v>2024</v>
      </c>
      <c r="AB2" s="633">
        <v>2025</v>
      </c>
      <c r="AC2" s="634">
        <v>2026</v>
      </c>
      <c r="AD2" s="634">
        <v>2027</v>
      </c>
      <c r="AE2" s="633">
        <v>2028</v>
      </c>
      <c r="AF2" s="634">
        <v>2029</v>
      </c>
      <c r="AG2" s="634">
        <v>2030</v>
      </c>
    </row>
    <row r="3" spans="1:33" x14ac:dyDescent="0.3">
      <c r="A3" s="370" t="s">
        <v>54</v>
      </c>
      <c r="B3" s="370" t="s">
        <v>54</v>
      </c>
      <c r="C3" s="626">
        <v>0.71965477110584397</v>
      </c>
      <c r="D3" s="626">
        <v>0.71453223952241107</v>
      </c>
      <c r="E3" s="626">
        <v>0.70982478447416897</v>
      </c>
      <c r="F3" s="626">
        <v>0.70568187908200197</v>
      </c>
      <c r="G3" s="626">
        <v>0.70214581300263401</v>
      </c>
      <c r="H3" s="626">
        <v>0.69918887455945689</v>
      </c>
      <c r="I3" s="626">
        <v>0.69855281312071005</v>
      </c>
      <c r="J3" s="626">
        <v>0.69769715373185803</v>
      </c>
      <c r="K3" s="626">
        <v>0.69619680423835684</v>
      </c>
      <c r="L3" s="626">
        <v>0.69365588768384501</v>
      </c>
      <c r="M3" s="626">
        <v>0.68988185157711801</v>
      </c>
      <c r="N3" s="626">
        <v>0.688951900051748</v>
      </c>
      <c r="O3" s="626">
        <v>0.68790986960602196</v>
      </c>
      <c r="P3" s="626">
        <v>0.68723582340831701</v>
      </c>
      <c r="Q3" s="626">
        <v>0.68743709180155799</v>
      </c>
      <c r="R3" s="626">
        <v>0.68874520068962297</v>
      </c>
      <c r="S3" s="626">
        <v>0.69124295836849603</v>
      </c>
      <c r="T3" s="626">
        <v>0.69384901247540398</v>
      </c>
      <c r="U3" s="626">
        <v>0.69636742852823996</v>
      </c>
      <c r="V3" s="626">
        <v>0.69857430291992995</v>
      </c>
      <c r="W3" s="626">
        <v>0.70035880976597698</v>
      </c>
      <c r="X3" s="626">
        <v>0.70214441700947905</v>
      </c>
      <c r="Y3" s="626">
        <v>0.70359851767661696</v>
      </c>
      <c r="Z3" s="626">
        <v>0.70479456537976104</v>
      </c>
      <c r="AA3" s="626">
        <v>0.70590536082398203</v>
      </c>
      <c r="AB3" s="626">
        <v>0.70701065416156195</v>
      </c>
      <c r="AC3" s="626">
        <v>0.70840302776902997</v>
      </c>
      <c r="AD3" s="626">
        <v>0.70975854044327102</v>
      </c>
      <c r="AE3" s="626">
        <v>0.71086228800192697</v>
      </c>
      <c r="AF3" s="626">
        <v>0.711474499005468</v>
      </c>
      <c r="AG3" s="626">
        <v>0.711453851698578</v>
      </c>
    </row>
    <row r="4" spans="1:33" x14ac:dyDescent="0.3">
      <c r="A4" s="369" t="s">
        <v>160</v>
      </c>
      <c r="B4" s="370" t="s">
        <v>160</v>
      </c>
      <c r="C4" s="626">
        <v>0.66415755992466996</v>
      </c>
      <c r="D4" s="626">
        <v>0.66107252967358088</v>
      </c>
      <c r="E4" s="626">
        <v>0.65680087310660396</v>
      </c>
      <c r="F4" s="626">
        <v>0.65163952433047201</v>
      </c>
      <c r="G4" s="626">
        <v>0.64608741479182996</v>
      </c>
      <c r="H4" s="626">
        <v>0.64049768253254202</v>
      </c>
      <c r="I4" s="626">
        <v>0.64011410692582005</v>
      </c>
      <c r="J4" s="626">
        <v>0.639941645897245</v>
      </c>
      <c r="K4" s="626">
        <v>0.63951096034140198</v>
      </c>
      <c r="L4" s="626">
        <v>0.63809782310804197</v>
      </c>
      <c r="M4" s="626">
        <v>0.63576065595698295</v>
      </c>
      <c r="N4" s="626">
        <v>0.63161370258560601</v>
      </c>
      <c r="O4" s="626">
        <v>0.62765711069624397</v>
      </c>
      <c r="P4" s="626">
        <v>0.62430200632609001</v>
      </c>
      <c r="Q4" s="626">
        <v>0.62184447271503296</v>
      </c>
      <c r="R4" s="626">
        <v>0.62025271393572801</v>
      </c>
      <c r="S4" s="626">
        <v>0.61931797615900996</v>
      </c>
      <c r="T4" s="626">
        <v>0.61939062543019696</v>
      </c>
      <c r="U4" s="626">
        <v>0.62026098853580602</v>
      </c>
      <c r="V4" s="626">
        <v>0.62164803109734301</v>
      </c>
      <c r="W4" s="626">
        <v>0.62335493590554902</v>
      </c>
      <c r="X4" s="626">
        <v>0.62636930499252197</v>
      </c>
      <c r="Y4" s="626">
        <v>0.62982472264037404</v>
      </c>
      <c r="Z4" s="626">
        <v>0.63331242288075396</v>
      </c>
      <c r="AA4" s="626">
        <v>0.63626957687076602</v>
      </c>
      <c r="AB4" s="626">
        <v>0.63830581416972398</v>
      </c>
      <c r="AC4" s="626">
        <v>0.64013386098110803</v>
      </c>
      <c r="AD4" s="626">
        <v>0.64094756080714399</v>
      </c>
      <c r="AE4" s="626">
        <v>0.64085613973281996</v>
      </c>
      <c r="AF4" s="626">
        <v>0.64019168882801902</v>
      </c>
      <c r="AG4" s="626">
        <v>0.639174817585905</v>
      </c>
    </row>
    <row r="5" spans="1:33" x14ac:dyDescent="0.3">
      <c r="A5" s="369" t="s">
        <v>293</v>
      </c>
      <c r="B5" s="370" t="s">
        <v>293</v>
      </c>
      <c r="C5" s="626">
        <v>0.43757738199620905</v>
      </c>
      <c r="D5" s="626">
        <v>0.42968146432265703</v>
      </c>
      <c r="E5" s="626">
        <v>0.42180479498428303</v>
      </c>
      <c r="F5" s="626">
        <v>0.42626538350773402</v>
      </c>
      <c r="G5" s="626">
        <v>0.43111787907379401</v>
      </c>
      <c r="H5" s="626">
        <v>0.43646972519598798</v>
      </c>
      <c r="I5" s="626">
        <v>0.44224676622067299</v>
      </c>
      <c r="J5" s="626">
        <v>0.44831115977300301</v>
      </c>
      <c r="K5" s="626">
        <v>0.45472301688750399</v>
      </c>
      <c r="L5" s="626">
        <v>0.46171544356904298</v>
      </c>
      <c r="M5" s="626">
        <v>0.46912831183639297</v>
      </c>
      <c r="N5" s="626">
        <v>0.47741861208128794</v>
      </c>
      <c r="O5" s="626">
        <v>0.48593976183669801</v>
      </c>
      <c r="P5" s="626">
        <v>0.49448836830062098</v>
      </c>
      <c r="Q5" s="626">
        <v>0.50278274628861497</v>
      </c>
      <c r="R5" s="626">
        <v>0.51057814381307798</v>
      </c>
      <c r="S5" s="626">
        <v>0.51784275545619896</v>
      </c>
      <c r="T5" s="626">
        <v>0.52456530674679902</v>
      </c>
      <c r="U5" s="626">
        <v>0.530389233476668</v>
      </c>
      <c r="V5" s="626">
        <v>0.534844346170258</v>
      </c>
      <c r="W5" s="626">
        <v>0.53766550047449801</v>
      </c>
      <c r="X5" s="626">
        <v>0.53891928409877099</v>
      </c>
      <c r="Y5" s="626">
        <v>0.53863599502105897</v>
      </c>
      <c r="Z5" s="626">
        <v>0.53711647294920695</v>
      </c>
      <c r="AA5" s="626">
        <v>0.53483382128483303</v>
      </c>
      <c r="AB5" s="626">
        <v>0.53214718217480705</v>
      </c>
      <c r="AC5" s="626">
        <v>0.52912470226724495</v>
      </c>
      <c r="AD5" s="626">
        <v>0.52587996220529298</v>
      </c>
      <c r="AE5" s="626">
        <v>0.52257489158722203</v>
      </c>
      <c r="AF5" s="626">
        <v>0.51936317096487705</v>
      </c>
      <c r="AG5" s="626">
        <v>0.51637090403737995</v>
      </c>
    </row>
    <row r="6" spans="1:33" x14ac:dyDescent="0.3">
      <c r="A6" s="369" t="s">
        <v>291</v>
      </c>
      <c r="B6" s="370" t="s">
        <v>291</v>
      </c>
      <c r="C6" s="626">
        <v>0.57234544049070102</v>
      </c>
      <c r="D6" s="626">
        <v>0.567519660705053</v>
      </c>
      <c r="E6" s="626">
        <v>0.56673726955521297</v>
      </c>
      <c r="F6" s="626">
        <v>0.56596380239782396</v>
      </c>
      <c r="G6" s="626">
        <v>0.56528571552141404</v>
      </c>
      <c r="H6" s="626">
        <v>0.56473480806498999</v>
      </c>
      <c r="I6" s="626">
        <v>0.56436873004691401</v>
      </c>
      <c r="J6" s="626">
        <v>0.56407688726661498</v>
      </c>
      <c r="K6" s="626">
        <v>0.56385406224060197</v>
      </c>
      <c r="L6" s="626">
        <v>0.56368838050262604</v>
      </c>
      <c r="M6" s="626">
        <v>0.56355381781314795</v>
      </c>
      <c r="N6" s="626">
        <v>0.56342053588749796</v>
      </c>
      <c r="O6" s="626">
        <v>0.56329592194523903</v>
      </c>
      <c r="P6" s="626">
        <v>0.56311017186233403</v>
      </c>
      <c r="Q6" s="626">
        <v>0.56277352589028096</v>
      </c>
      <c r="R6" s="626">
        <v>0.56223818053560404</v>
      </c>
      <c r="S6" s="626">
        <v>0.56154398848505704</v>
      </c>
      <c r="T6" s="626">
        <v>0.560650335277464</v>
      </c>
      <c r="U6" s="626">
        <v>0.55946850210429999</v>
      </c>
      <c r="V6" s="626">
        <v>0.557977374568841</v>
      </c>
      <c r="W6" s="626">
        <v>0.55618166405774205</v>
      </c>
      <c r="X6" s="626">
        <v>0.55410539229456701</v>
      </c>
      <c r="Y6" s="626">
        <v>0.55176659345701096</v>
      </c>
      <c r="Z6" s="626">
        <v>0.54929590990880905</v>
      </c>
      <c r="AA6" s="626">
        <v>0.54686833229064002</v>
      </c>
      <c r="AB6" s="626">
        <v>0.54458511657176001</v>
      </c>
      <c r="AC6" s="626">
        <v>0.54240708866331899</v>
      </c>
      <c r="AD6" s="626">
        <v>0.54033242139109505</v>
      </c>
      <c r="AE6" s="626">
        <v>0.53836450464672903</v>
      </c>
      <c r="AF6" s="626">
        <v>0.53650554474136303</v>
      </c>
      <c r="AG6" s="626">
        <v>0.53474850058260703</v>
      </c>
    </row>
    <row r="7" spans="1:33" x14ac:dyDescent="0.3">
      <c r="A7" s="369" t="s">
        <v>365</v>
      </c>
      <c r="B7" s="370" t="s">
        <v>365</v>
      </c>
      <c r="C7" s="626">
        <v>0.40271363856695896</v>
      </c>
      <c r="D7" s="626">
        <v>0.401014128408549</v>
      </c>
      <c r="E7" s="626">
        <v>0.39963417109094002</v>
      </c>
      <c r="F7" s="626">
        <v>0.39878945203155503</v>
      </c>
      <c r="G7" s="626">
        <v>0.39840999327335402</v>
      </c>
      <c r="H7" s="626">
        <v>0.39846636958060899</v>
      </c>
      <c r="I7" s="626">
        <v>0.39812027560674601</v>
      </c>
      <c r="J7" s="626">
        <v>0.39803353638726402</v>
      </c>
      <c r="K7" s="626">
        <v>0.39831373421527405</v>
      </c>
      <c r="L7" s="626">
        <v>0.39894330190921301</v>
      </c>
      <c r="M7" s="626">
        <v>0.39977376920664798</v>
      </c>
      <c r="N7" s="626">
        <v>0.39997403947214799</v>
      </c>
      <c r="O7" s="626">
        <v>0.40020394151549099</v>
      </c>
      <c r="P7" s="626">
        <v>0.40077683546252102</v>
      </c>
      <c r="Q7" s="626">
        <v>0.40175806241374007</v>
      </c>
      <c r="R7" s="626">
        <v>0.403340096433492</v>
      </c>
      <c r="S7" s="626">
        <v>0.40506963848039201</v>
      </c>
      <c r="T7" s="626">
        <v>0.40712137568573298</v>
      </c>
      <c r="U7" s="626">
        <v>0.409511517458853</v>
      </c>
      <c r="V7" s="626">
        <v>0.41220730549552298</v>
      </c>
      <c r="W7" s="626">
        <v>0.41506741707997497</v>
      </c>
      <c r="X7" s="626">
        <v>0.41811272755562501</v>
      </c>
      <c r="Y7" s="626">
        <v>0.42142856082506408</v>
      </c>
      <c r="Z7" s="626">
        <v>0.42488363543628405</v>
      </c>
      <c r="AA7" s="626">
        <v>0.42834761660888693</v>
      </c>
      <c r="AB7" s="626">
        <v>0.43174802704412502</v>
      </c>
      <c r="AC7" s="626">
        <v>0.43502949988111295</v>
      </c>
      <c r="AD7" s="626">
        <v>0.43826097280127102</v>
      </c>
      <c r="AE7" s="626">
        <v>0.44141624910522492</v>
      </c>
      <c r="AF7" s="626">
        <v>0.44459786996854705</v>
      </c>
      <c r="AG7" s="626">
        <v>0.44788532918610696</v>
      </c>
    </row>
    <row r="8" spans="1:33" x14ac:dyDescent="0.3">
      <c r="A8" s="369" t="s">
        <v>383</v>
      </c>
      <c r="B8" s="370" t="s">
        <v>383</v>
      </c>
      <c r="C8" s="626">
        <v>0.55061870495722898</v>
      </c>
      <c r="D8" s="626">
        <v>0.55015868068172802</v>
      </c>
      <c r="E8" s="626">
        <v>0.55274759983825295</v>
      </c>
      <c r="F8" s="626">
        <v>0.55530385719716702</v>
      </c>
      <c r="G8" s="626">
        <v>0.55780540080626095</v>
      </c>
      <c r="H8" s="626">
        <v>0.56023103152281895</v>
      </c>
      <c r="I8" s="626">
        <v>0.56237621194759402</v>
      </c>
      <c r="J8" s="626">
        <v>0.564390906330548</v>
      </c>
      <c r="K8" s="626">
        <v>0.56636201791555396</v>
      </c>
      <c r="L8" s="626">
        <v>0.56843005168162397</v>
      </c>
      <c r="M8" s="626">
        <v>0.57068272248791097</v>
      </c>
      <c r="N8" s="626">
        <v>0.57316058185674801</v>
      </c>
      <c r="O8" s="626">
        <v>0.57573506885234205</v>
      </c>
      <c r="P8" s="626">
        <v>0.57832367964209996</v>
      </c>
      <c r="Q8" s="626">
        <v>0.58079671864677496</v>
      </c>
      <c r="R8" s="626">
        <v>0.58306587604263405</v>
      </c>
      <c r="S8" s="626">
        <v>0.58508554920737699</v>
      </c>
      <c r="T8" s="626">
        <v>0.58689360326857698</v>
      </c>
      <c r="U8" s="626">
        <v>0.58848390810901396</v>
      </c>
      <c r="V8" s="626">
        <v>0.58986627014196802</v>
      </c>
      <c r="W8" s="626">
        <v>0.59104367687625203</v>
      </c>
      <c r="X8" s="626">
        <v>0.59196295776714303</v>
      </c>
      <c r="Y8" s="626">
        <v>0.59268527339819099</v>
      </c>
      <c r="Z8" s="626">
        <v>0.59316261908581402</v>
      </c>
      <c r="AA8" s="626">
        <v>0.59332349453904898</v>
      </c>
      <c r="AB8" s="626">
        <v>0.59313225230190303</v>
      </c>
      <c r="AC8" s="626">
        <v>0.592561018612347</v>
      </c>
      <c r="AD8" s="626">
        <v>0.59164968097170401</v>
      </c>
      <c r="AE8" s="626">
        <v>0.59049381934036904</v>
      </c>
      <c r="AF8" s="626">
        <v>0.58924135530919397</v>
      </c>
      <c r="AG8" s="626">
        <v>0.58798853246903404</v>
      </c>
    </row>
    <row r="9" spans="1:33" x14ac:dyDescent="0.3">
      <c r="A9" s="369" t="s">
        <v>161</v>
      </c>
      <c r="B9" s="370" t="s">
        <v>161</v>
      </c>
      <c r="C9" s="626">
        <v>0.6519778696847599</v>
      </c>
      <c r="D9" s="626">
        <v>0.64590601687452998</v>
      </c>
      <c r="E9" s="626">
        <v>0.63994001945547696</v>
      </c>
      <c r="F9" s="626">
        <v>0.63431543657135903</v>
      </c>
      <c r="G9" s="626">
        <v>0.62940765314531899</v>
      </c>
      <c r="H9" s="626">
        <v>0.62546899828337998</v>
      </c>
      <c r="I9" s="626">
        <v>0.62242485468020303</v>
      </c>
      <c r="J9" s="626">
        <v>0.620294322025988</v>
      </c>
      <c r="K9" s="626">
        <v>0.61915281206213901</v>
      </c>
      <c r="L9" s="626">
        <v>0.61910708369601897</v>
      </c>
      <c r="M9" s="626">
        <v>0.62022587176105703</v>
      </c>
      <c r="N9" s="626">
        <v>0.62327114187496502</v>
      </c>
      <c r="O9" s="626">
        <v>0.62757978468432996</v>
      </c>
      <c r="P9" s="626">
        <v>0.63266328223037305</v>
      </c>
      <c r="Q9" s="626">
        <v>0.63768442096948097</v>
      </c>
      <c r="R9" s="626">
        <v>0.64203134714823984</v>
      </c>
      <c r="S9" s="626">
        <v>0.64603362261506303</v>
      </c>
      <c r="T9" s="626">
        <v>0.64918288145522896</v>
      </c>
      <c r="U9" s="626">
        <v>0.65150729706550803</v>
      </c>
      <c r="V9" s="626">
        <v>0.65282249697788108</v>
      </c>
      <c r="W9" s="626">
        <v>0.65299551523010602</v>
      </c>
      <c r="X9" s="626">
        <v>0.65208089939556801</v>
      </c>
      <c r="Y9" s="626">
        <v>0.64989700099168601</v>
      </c>
      <c r="Z9" s="626">
        <v>0.64665516923648914</v>
      </c>
      <c r="AA9" s="626">
        <v>0.64271691935299002</v>
      </c>
      <c r="AB9" s="626">
        <v>0.63831985978216499</v>
      </c>
      <c r="AC9" s="626">
        <v>0.63355530825737905</v>
      </c>
      <c r="AD9" s="626">
        <v>0.62832232266594801</v>
      </c>
      <c r="AE9" s="626">
        <v>0.62277673318107496</v>
      </c>
      <c r="AF9" s="626">
        <v>0.61712584982869001</v>
      </c>
      <c r="AG9" s="626">
        <v>0.61152252912124305</v>
      </c>
    </row>
    <row r="10" spans="1:33" x14ac:dyDescent="0.3">
      <c r="A10" s="369" t="s">
        <v>366</v>
      </c>
      <c r="B10" s="370" t="s">
        <v>366</v>
      </c>
      <c r="C10" s="626">
        <v>0.51092601837138096</v>
      </c>
      <c r="D10" s="626">
        <v>0.505474077162131</v>
      </c>
      <c r="E10" s="626">
        <v>0.49994891038470102</v>
      </c>
      <c r="F10" s="626">
        <v>0.494318780416939</v>
      </c>
      <c r="G10" s="626">
        <v>0.48839180937399507</v>
      </c>
      <c r="H10" s="626">
        <v>0.48212796727234097</v>
      </c>
      <c r="I10" s="626">
        <v>0.47850808264639805</v>
      </c>
      <c r="J10" s="626">
        <v>0.474716052602978</v>
      </c>
      <c r="K10" s="626">
        <v>0.470513759840337</v>
      </c>
      <c r="L10" s="626">
        <v>0.465829505287009</v>
      </c>
      <c r="M10" s="626">
        <v>0.46086196297724608</v>
      </c>
      <c r="N10" s="626">
        <v>0.45167398364486</v>
      </c>
      <c r="O10" s="626">
        <v>0.44288339872871402</v>
      </c>
      <c r="P10" s="626">
        <v>0.43464657718120803</v>
      </c>
      <c r="Q10" s="626">
        <v>0.42718879009209298</v>
      </c>
      <c r="R10" s="626">
        <v>0.420648670764809</v>
      </c>
      <c r="S10" s="626">
        <v>0.41495845790085395</v>
      </c>
      <c r="T10" s="626">
        <v>0.410349504631494</v>
      </c>
      <c r="U10" s="626">
        <v>0.40681752418734601</v>
      </c>
      <c r="V10" s="626">
        <v>0.40414464597991001</v>
      </c>
      <c r="W10" s="626">
        <v>0.40213342719556006</v>
      </c>
      <c r="X10" s="626">
        <v>0.40073950637530198</v>
      </c>
      <c r="Y10" s="626">
        <v>0.40008806939648101</v>
      </c>
      <c r="Z10" s="626">
        <v>0.40032156038886102</v>
      </c>
      <c r="AA10" s="626">
        <v>0.40164711351708698</v>
      </c>
      <c r="AB10" s="626">
        <v>0.40400553041312004</v>
      </c>
      <c r="AC10" s="626">
        <v>0.40728536036035995</v>
      </c>
      <c r="AD10" s="626">
        <v>0.411697167198254</v>
      </c>
      <c r="AE10" s="626">
        <v>0.41696134894138498</v>
      </c>
      <c r="AF10" s="626">
        <v>0.42265748607390402</v>
      </c>
      <c r="AG10" s="626">
        <v>0.428387718923537</v>
      </c>
    </row>
    <row r="11" spans="1:33" x14ac:dyDescent="0.3">
      <c r="A11" s="369" t="s">
        <v>394</v>
      </c>
      <c r="B11" s="370" t="s">
        <v>394</v>
      </c>
      <c r="C11" s="626">
        <v>0.58172587408214704</v>
      </c>
      <c r="D11" s="626">
        <v>0.57655447071642396</v>
      </c>
      <c r="E11" s="626">
        <v>0.57141508044442701</v>
      </c>
      <c r="F11" s="626">
        <v>0.56640328067533197</v>
      </c>
      <c r="G11" s="626">
        <v>0.56150646006667804</v>
      </c>
      <c r="H11" s="626">
        <v>0.55668198769363397</v>
      </c>
      <c r="I11" s="626">
        <v>0.54983638614079899</v>
      </c>
      <c r="J11" s="626">
        <v>0.54787035788163596</v>
      </c>
      <c r="K11" s="626">
        <v>0.546836364207133</v>
      </c>
      <c r="L11" s="626">
        <v>0.54675204824787804</v>
      </c>
      <c r="M11" s="626">
        <v>0.54746547682495605</v>
      </c>
      <c r="N11" s="626">
        <v>0.54707111428809296</v>
      </c>
      <c r="O11" s="626">
        <v>0.54703458718942399</v>
      </c>
      <c r="P11" s="626">
        <v>0.54751414114589203</v>
      </c>
      <c r="Q11" s="626">
        <v>0.54858035947819805</v>
      </c>
      <c r="R11" s="626">
        <v>0.55018571454180498</v>
      </c>
      <c r="S11" s="626">
        <v>0.551686890219237</v>
      </c>
      <c r="T11" s="626">
        <v>0.55327645249659996</v>
      </c>
      <c r="U11" s="626">
        <v>0.55480843448601103</v>
      </c>
      <c r="V11" s="626">
        <v>0.55600684989681404</v>
      </c>
      <c r="W11" s="626">
        <v>0.55670282727318499</v>
      </c>
      <c r="X11" s="626">
        <v>0.55663210986170997</v>
      </c>
      <c r="Y11" s="626">
        <v>0.55596780160861003</v>
      </c>
      <c r="Z11" s="626">
        <v>0.55492586468266702</v>
      </c>
      <c r="AA11" s="626">
        <v>0.55384464133311995</v>
      </c>
      <c r="AB11" s="626">
        <v>0.55294256449331103</v>
      </c>
      <c r="AC11" s="626">
        <v>0.55179939550864099</v>
      </c>
      <c r="AD11" s="626">
        <v>0.55082356617219796</v>
      </c>
      <c r="AE11" s="626">
        <v>0.54997116144423697</v>
      </c>
      <c r="AF11" s="626">
        <v>0.54912211459483695</v>
      </c>
      <c r="AG11" s="626">
        <v>0.54821820486502504</v>
      </c>
    </row>
    <row r="12" spans="1:33" x14ac:dyDescent="0.3">
      <c r="A12" s="369" t="s">
        <v>357</v>
      </c>
      <c r="B12" s="370" t="s">
        <v>357</v>
      </c>
      <c r="C12" s="626">
        <v>0.55840543075230098</v>
      </c>
      <c r="D12" s="626">
        <v>0.55367356728292705</v>
      </c>
      <c r="E12" s="626">
        <v>0.55542225035846005</v>
      </c>
      <c r="F12" s="626">
        <v>0.55713518599635703</v>
      </c>
      <c r="G12" s="626">
        <v>0.55867727185820604</v>
      </c>
      <c r="H12" s="626">
        <v>0.55996826518685305</v>
      </c>
      <c r="I12" s="626">
        <v>0.56079176822282695</v>
      </c>
      <c r="J12" s="626">
        <v>0.56126581589150903</v>
      </c>
      <c r="K12" s="626">
        <v>0.56163360645749405</v>
      </c>
      <c r="L12" s="626">
        <v>0.56221603212234195</v>
      </c>
      <c r="M12" s="626">
        <v>0.563216489906741</v>
      </c>
      <c r="N12" s="626">
        <v>0.56338939088823203</v>
      </c>
      <c r="O12" s="626">
        <v>0.56419161620056602</v>
      </c>
      <c r="P12" s="626">
        <v>0.56569043167819699</v>
      </c>
      <c r="Q12" s="626">
        <v>0.56766984371256501</v>
      </c>
      <c r="R12" s="626">
        <v>0.57000309681068995</v>
      </c>
      <c r="S12" s="626">
        <v>0.57160385361405497</v>
      </c>
      <c r="T12" s="626">
        <v>0.57326495942420297</v>
      </c>
      <c r="U12" s="626">
        <v>0.57506670962883999</v>
      </c>
      <c r="V12" s="626">
        <v>0.57708688412814402</v>
      </c>
      <c r="W12" s="626">
        <v>0.57934723001538502</v>
      </c>
      <c r="X12" s="626">
        <v>0.58196614617023601</v>
      </c>
      <c r="Y12" s="626">
        <v>0.58455930096466502</v>
      </c>
      <c r="Z12" s="626">
        <v>0.58707783229340904</v>
      </c>
      <c r="AA12" s="626">
        <v>0.58943703785468604</v>
      </c>
      <c r="AB12" s="626">
        <v>0.59155797082103601</v>
      </c>
      <c r="AC12" s="626">
        <v>0.59293134408952597</v>
      </c>
      <c r="AD12" s="626">
        <v>0.59402429622861097</v>
      </c>
      <c r="AE12" s="626">
        <v>0.59477416520117099</v>
      </c>
      <c r="AF12" s="626">
        <v>0.59506601506305401</v>
      </c>
      <c r="AG12" s="626">
        <v>0.59482700033698299</v>
      </c>
    </row>
    <row r="13" spans="1:33" x14ac:dyDescent="0.3">
      <c r="A13" s="369" t="s">
        <v>162</v>
      </c>
      <c r="B13" s="370" t="s">
        <v>162</v>
      </c>
      <c r="C13" s="626">
        <v>0.62117202542764405</v>
      </c>
      <c r="D13" s="626">
        <v>0.61793698566601396</v>
      </c>
      <c r="E13" s="626">
        <v>0.61413295999115203</v>
      </c>
      <c r="F13" s="626">
        <v>0.61020349370554705</v>
      </c>
      <c r="G13" s="626">
        <v>0.60669822511789695</v>
      </c>
      <c r="H13" s="626">
        <v>0.60396965780930001</v>
      </c>
      <c r="I13" s="626">
        <v>0.60204763520617</v>
      </c>
      <c r="J13" s="626">
        <v>0.60094698444427497</v>
      </c>
      <c r="K13" s="626">
        <v>0.60077712944016404</v>
      </c>
      <c r="L13" s="626">
        <v>0.60156891355986697</v>
      </c>
      <c r="M13" s="626">
        <v>0.603245839333303</v>
      </c>
      <c r="N13" s="626">
        <v>0.60589851855960397</v>
      </c>
      <c r="O13" s="626">
        <v>0.60927744749811297</v>
      </c>
      <c r="P13" s="626">
        <v>0.61306563381065804</v>
      </c>
      <c r="Q13" s="626">
        <v>0.61699900462854296</v>
      </c>
      <c r="R13" s="626">
        <v>0.62082866851304297</v>
      </c>
      <c r="S13" s="626">
        <v>0.62444971197753596</v>
      </c>
      <c r="T13" s="626">
        <v>0.62790929980394905</v>
      </c>
      <c r="U13" s="626">
        <v>0.63102170927554901</v>
      </c>
      <c r="V13" s="626">
        <v>0.63355861235408195</v>
      </c>
      <c r="W13" s="626">
        <v>0.63534953378917702</v>
      </c>
      <c r="X13" s="626">
        <v>0.636333114601353</v>
      </c>
      <c r="Y13" s="626">
        <v>0.63654143610416403</v>
      </c>
      <c r="Z13" s="626">
        <v>0.63586553413158597</v>
      </c>
      <c r="AA13" s="626">
        <v>0.63417764670726395</v>
      </c>
      <c r="AB13" s="626">
        <v>0.63144205080386895</v>
      </c>
      <c r="AC13" s="626">
        <v>0.62765505340147698</v>
      </c>
      <c r="AD13" s="626">
        <v>0.62286408324756404</v>
      </c>
      <c r="AE13" s="626">
        <v>0.61747100148557699</v>
      </c>
      <c r="AF13" s="626">
        <v>0.61204285515241896</v>
      </c>
      <c r="AG13" s="626">
        <v>0.60693950497674698</v>
      </c>
    </row>
    <row r="14" spans="1:33" x14ac:dyDescent="0.3">
      <c r="A14" s="369" t="s">
        <v>367</v>
      </c>
      <c r="B14" s="370" t="s">
        <v>367</v>
      </c>
      <c r="C14" s="626">
        <v>0.40386538452349702</v>
      </c>
      <c r="D14" s="626">
        <v>0.40272225972808301</v>
      </c>
      <c r="E14" s="626">
        <v>0.401753608651089</v>
      </c>
      <c r="F14" s="626">
        <v>0.40047235100275203</v>
      </c>
      <c r="G14" s="626">
        <v>0.39883896338203795</v>
      </c>
      <c r="H14" s="626">
        <v>0.39708637558891202</v>
      </c>
      <c r="I14" s="626">
        <v>0.39607561677366698</v>
      </c>
      <c r="J14" s="626">
        <v>0.39523315737345599</v>
      </c>
      <c r="K14" s="626">
        <v>0.39419486420468702</v>
      </c>
      <c r="L14" s="626">
        <v>0.39287531221056299</v>
      </c>
      <c r="M14" s="626">
        <v>0.39137688837200002</v>
      </c>
      <c r="N14" s="626">
        <v>0.38824752508659999</v>
      </c>
      <c r="O14" s="626">
        <v>0.38542416269825702</v>
      </c>
      <c r="P14" s="626">
        <v>0.38302270287153301</v>
      </c>
      <c r="Q14" s="626">
        <v>0.38111619762654397</v>
      </c>
      <c r="R14" s="626">
        <v>0.379806067601624</v>
      </c>
      <c r="S14" s="626">
        <v>0.37883159033709601</v>
      </c>
      <c r="T14" s="626">
        <v>0.37850603809650002</v>
      </c>
      <c r="U14" s="626">
        <v>0.37873101580644897</v>
      </c>
      <c r="V14" s="626">
        <v>0.37936901366329601</v>
      </c>
      <c r="W14" s="626">
        <v>0.38032956160642101</v>
      </c>
      <c r="X14" s="626">
        <v>0.38138254319524401</v>
      </c>
      <c r="Y14" s="626">
        <v>0.38271521785236801</v>
      </c>
      <c r="Z14" s="626">
        <v>0.38457445821854902</v>
      </c>
      <c r="AA14" s="626">
        <v>0.38730086962093702</v>
      </c>
      <c r="AB14" s="626">
        <v>0.39115006625905901</v>
      </c>
      <c r="AC14" s="626">
        <v>0.395786148035289</v>
      </c>
      <c r="AD14" s="626">
        <v>0.40148788257396101</v>
      </c>
      <c r="AE14" s="626">
        <v>0.408017150573937</v>
      </c>
      <c r="AF14" s="626">
        <v>0.41497014333972404</v>
      </c>
      <c r="AG14" s="626">
        <v>0.42207346301369902</v>
      </c>
    </row>
    <row r="15" spans="1:33" x14ac:dyDescent="0.3">
      <c r="A15" s="369" t="s">
        <v>313</v>
      </c>
      <c r="B15" s="370" t="s">
        <v>313</v>
      </c>
      <c r="C15" s="626">
        <v>0.57338326203504797</v>
      </c>
      <c r="D15" s="626">
        <v>0.56452051409318404</v>
      </c>
      <c r="E15" s="626">
        <v>0.55596317949172902</v>
      </c>
      <c r="F15" s="626">
        <v>0.54951337113195797</v>
      </c>
      <c r="G15" s="626">
        <v>0.54459634854854599</v>
      </c>
      <c r="H15" s="626">
        <v>0.54061272764101298</v>
      </c>
      <c r="I15" s="626">
        <v>0.53142473155023995</v>
      </c>
      <c r="J15" s="626">
        <v>0.52427156994666502</v>
      </c>
      <c r="K15" s="626">
        <v>0.51896245259551499</v>
      </c>
      <c r="L15" s="626">
        <v>0.51501234784112804</v>
      </c>
      <c r="M15" s="626">
        <v>0.51183493783474898</v>
      </c>
      <c r="N15" s="626">
        <v>0.50422261312088301</v>
      </c>
      <c r="O15" s="626">
        <v>0.49723464513582799</v>
      </c>
      <c r="P15" s="626">
        <v>0.49109519264815299</v>
      </c>
      <c r="Q15" s="626">
        <v>0.48574030021053294</v>
      </c>
      <c r="R15" s="626">
        <v>0.48088088747274599</v>
      </c>
      <c r="S15" s="626">
        <v>0.473019252820016</v>
      </c>
      <c r="T15" s="626">
        <v>0.46649571683485702</v>
      </c>
      <c r="U15" s="626">
        <v>0.46097540642315205</v>
      </c>
      <c r="V15" s="626">
        <v>0.45649363437255103</v>
      </c>
      <c r="W15" s="626">
        <v>0.453143350165994</v>
      </c>
      <c r="X15" s="626">
        <v>0.446526689350082</v>
      </c>
      <c r="Y15" s="626">
        <v>0.44116592744012501</v>
      </c>
      <c r="Z15" s="626">
        <v>0.43714823429691402</v>
      </c>
      <c r="AA15" s="626">
        <v>0.43427899044336399</v>
      </c>
      <c r="AB15" s="626">
        <v>0.43228680792535201</v>
      </c>
      <c r="AC15" s="626">
        <v>0.42898302378558101</v>
      </c>
      <c r="AD15" s="626">
        <v>0.42664695865836</v>
      </c>
      <c r="AE15" s="626">
        <v>0.42551176182497102</v>
      </c>
      <c r="AF15" s="626">
        <v>0.42584399296833297</v>
      </c>
      <c r="AG15" s="626">
        <v>0.42767090344647907</v>
      </c>
    </row>
    <row r="16" spans="1:33" x14ac:dyDescent="0.3">
      <c r="A16" s="369" t="s">
        <v>30</v>
      </c>
      <c r="B16" s="370" t="s">
        <v>30</v>
      </c>
      <c r="C16" s="626">
        <v>0.76794620962453597</v>
      </c>
      <c r="D16" s="626">
        <v>0.76596225413680197</v>
      </c>
      <c r="E16" s="626">
        <v>0.76983627877778305</v>
      </c>
      <c r="F16" s="626">
        <v>0.77382589225061116</v>
      </c>
      <c r="G16" s="626">
        <v>0.77787813791437599</v>
      </c>
      <c r="H16" s="626">
        <v>0.78194338281737108</v>
      </c>
      <c r="I16" s="626">
        <v>0.7860155082394471</v>
      </c>
      <c r="J16" s="626">
        <v>0.79017967285167201</v>
      </c>
      <c r="K16" s="626">
        <v>0.79435310716863394</v>
      </c>
      <c r="L16" s="626">
        <v>0.79844378310257891</v>
      </c>
      <c r="M16" s="626">
        <v>0.80237519949696801</v>
      </c>
      <c r="N16" s="626">
        <v>0.80611378788236498</v>
      </c>
      <c r="O16" s="626">
        <v>0.80976468652949696</v>
      </c>
      <c r="P16" s="626">
        <v>0.81335837753628615</v>
      </c>
      <c r="Q16" s="626">
        <v>0.81614334966007296</v>
      </c>
      <c r="R16" s="626">
        <v>0.81847397442289105</v>
      </c>
      <c r="S16" s="626">
        <v>0.82029911075164297</v>
      </c>
      <c r="T16" s="626">
        <v>0.82178978327295704</v>
      </c>
      <c r="U16" s="626">
        <v>0.82300819796936897</v>
      </c>
      <c r="V16" s="626">
        <v>0.82402980291489991</v>
      </c>
      <c r="W16" s="626">
        <v>0.82486644270977705</v>
      </c>
      <c r="X16" s="626">
        <v>0.82537475602383903</v>
      </c>
      <c r="Y16" s="626">
        <v>0.82573114545239112</v>
      </c>
      <c r="Z16" s="626">
        <v>0.8258351747077739</v>
      </c>
      <c r="AA16" s="626">
        <v>0.82553252344367001</v>
      </c>
      <c r="AB16" s="626">
        <v>0.82470115521763399</v>
      </c>
      <c r="AC16" s="626">
        <v>0.82328193199983402</v>
      </c>
      <c r="AD16" s="626">
        <v>0.82137171262254194</v>
      </c>
      <c r="AE16" s="626">
        <v>0.818962615020143</v>
      </c>
      <c r="AF16" s="626">
        <v>0.81606046614632399</v>
      </c>
      <c r="AG16" s="626">
        <v>0.81263257095527597</v>
      </c>
    </row>
    <row r="17" spans="1:33" x14ac:dyDescent="0.3">
      <c r="A17" s="369" t="s">
        <v>368</v>
      </c>
      <c r="B17" s="370" t="s">
        <v>368</v>
      </c>
      <c r="C17" s="626">
        <v>0.59178684310121099</v>
      </c>
      <c r="D17" s="626">
        <v>0.59112406247468896</v>
      </c>
      <c r="E17" s="626">
        <v>0.59038851692740002</v>
      </c>
      <c r="F17" s="626">
        <v>0.58965878178912901</v>
      </c>
      <c r="G17" s="626">
        <v>0.58894105228838101</v>
      </c>
      <c r="H17" s="626">
        <v>0.58821355151019294</v>
      </c>
      <c r="I17" s="626">
        <v>0.587390247612261</v>
      </c>
      <c r="J17" s="626">
        <v>0.58644444184252598</v>
      </c>
      <c r="K17" s="626">
        <v>0.58539147786322998</v>
      </c>
      <c r="L17" s="626">
        <v>0.58441083955614503</v>
      </c>
      <c r="M17" s="626">
        <v>0.58347642727413496</v>
      </c>
      <c r="N17" s="626">
        <v>0.58195427842720504</v>
      </c>
      <c r="O17" s="626">
        <v>0.58052480689881603</v>
      </c>
      <c r="P17" s="626">
        <v>0.57910315194081796</v>
      </c>
      <c r="Q17" s="626">
        <v>0.57772758470642804</v>
      </c>
      <c r="R17" s="626">
        <v>0.57629734340085603</v>
      </c>
      <c r="S17" s="626">
        <v>0.57487896838797803</v>
      </c>
      <c r="T17" s="626">
        <v>0.57349121031511896</v>
      </c>
      <c r="U17" s="626">
        <v>0.57220042676782601</v>
      </c>
      <c r="V17" s="626">
        <v>0.57111461308238698</v>
      </c>
      <c r="W17" s="626">
        <v>0.57027545519885003</v>
      </c>
      <c r="X17" s="626">
        <v>0.56969886661642799</v>
      </c>
      <c r="Y17" s="626">
        <v>0.56936125791127201</v>
      </c>
      <c r="Z17" s="626">
        <v>0.569321477710512</v>
      </c>
      <c r="AA17" s="626">
        <v>0.56963108409976704</v>
      </c>
      <c r="AB17" s="626">
        <v>0.57032415704172901</v>
      </c>
      <c r="AC17" s="626">
        <v>0.57141836753833397</v>
      </c>
      <c r="AD17" s="626">
        <v>0.57290404778017301</v>
      </c>
      <c r="AE17" s="626">
        <v>0.57461408714120399</v>
      </c>
      <c r="AF17" s="626">
        <v>0.57626228201852403</v>
      </c>
      <c r="AG17" s="626">
        <v>0.57770665464440396</v>
      </c>
    </row>
    <row r="18" spans="1:33" x14ac:dyDescent="0.3">
      <c r="A18" s="369" t="s">
        <v>325</v>
      </c>
      <c r="B18" s="370" t="s">
        <v>325</v>
      </c>
      <c r="C18" s="626">
        <v>0.60677759340546999</v>
      </c>
      <c r="D18" s="626">
        <v>0.60154188169158596</v>
      </c>
      <c r="E18" s="626">
        <v>0.59644245155113595</v>
      </c>
      <c r="F18" s="626">
        <v>0.59168914563215103</v>
      </c>
      <c r="G18" s="626">
        <v>0.58761171948170698</v>
      </c>
      <c r="H18" s="626">
        <v>0.58438827596363296</v>
      </c>
      <c r="I18" s="626">
        <v>0.58133208633364097</v>
      </c>
      <c r="J18" s="626">
        <v>0.57912571079887198</v>
      </c>
      <c r="K18" s="626">
        <v>0.57762100810675998</v>
      </c>
      <c r="L18" s="626">
        <v>0.57655193612004796</v>
      </c>
      <c r="M18" s="626">
        <v>0.57522689224854695</v>
      </c>
      <c r="N18" s="626">
        <v>0.57469135445355102</v>
      </c>
      <c r="O18" s="626">
        <v>0.57468039459630604</v>
      </c>
      <c r="P18" s="626">
        <v>0.57495254021378495</v>
      </c>
      <c r="Q18" s="626">
        <v>0.57515658826480098</v>
      </c>
      <c r="R18" s="626">
        <v>0.57502619803437005</v>
      </c>
      <c r="S18" s="626">
        <v>0.57475616618722103</v>
      </c>
      <c r="T18" s="626">
        <v>0.57423942305998998</v>
      </c>
      <c r="U18" s="626">
        <v>0.57317326311712602</v>
      </c>
      <c r="V18" s="626">
        <v>0.57156847441195902</v>
      </c>
      <c r="W18" s="626">
        <v>0.56962894051851598</v>
      </c>
      <c r="X18" s="626">
        <v>0.566789103623899</v>
      </c>
      <c r="Y18" s="626">
        <v>0.56348299023700898</v>
      </c>
      <c r="Z18" s="626">
        <v>0.55970178282861105</v>
      </c>
      <c r="AA18" s="626">
        <v>0.55543044846774803</v>
      </c>
      <c r="AB18" s="626">
        <v>0.550716594182311</v>
      </c>
      <c r="AC18" s="626">
        <v>0.54554278537331102</v>
      </c>
      <c r="AD18" s="626">
        <v>0.53998264739231505</v>
      </c>
      <c r="AE18" s="626">
        <v>0.53442850617225601</v>
      </c>
      <c r="AF18" s="626">
        <v>0.52942801038567799</v>
      </c>
      <c r="AG18" s="626">
        <v>0.52532362486984996</v>
      </c>
    </row>
    <row r="19" spans="1:33" x14ac:dyDescent="0.3">
      <c r="A19" s="369" t="s">
        <v>358</v>
      </c>
      <c r="B19" s="370" t="s">
        <v>358</v>
      </c>
      <c r="C19" s="626">
        <v>0.69496466445888305</v>
      </c>
      <c r="D19" s="626">
        <v>0.69125079207711304</v>
      </c>
      <c r="E19" s="626">
        <v>0.67852430878767711</v>
      </c>
      <c r="F19" s="626">
        <v>0.666003460723818</v>
      </c>
      <c r="G19" s="626">
        <v>0.65365691789480496</v>
      </c>
      <c r="H19" s="626">
        <v>0.64140781292739601</v>
      </c>
      <c r="I19" s="626">
        <v>0.62833046436856999</v>
      </c>
      <c r="J19" s="626">
        <v>0.615493010697719</v>
      </c>
      <c r="K19" s="626">
        <v>0.603057658662285</v>
      </c>
      <c r="L19" s="626">
        <v>0.59116137440436101</v>
      </c>
      <c r="M19" s="626">
        <v>0.57981896588816795</v>
      </c>
      <c r="N19" s="626">
        <v>0.56801663086807097</v>
      </c>
      <c r="O19" s="626">
        <v>0.55370230229023398</v>
      </c>
      <c r="P19" s="626">
        <v>0.54006872416350105</v>
      </c>
      <c r="Q19" s="626">
        <v>0.52709787465121205</v>
      </c>
      <c r="R19" s="626">
        <v>0.51473226666836303</v>
      </c>
      <c r="S19" s="626">
        <v>0.50245968564950605</v>
      </c>
      <c r="T19" s="626">
        <v>0.49074606853532698</v>
      </c>
      <c r="U19" s="626">
        <v>0.47961731125367796</v>
      </c>
      <c r="V19" s="626">
        <v>0.46904741973145597</v>
      </c>
      <c r="W19" s="626">
        <v>0.45903475736016902</v>
      </c>
      <c r="X19" s="626">
        <v>0.44945659981931402</v>
      </c>
      <c r="Y19" s="626">
        <v>0.44050038001526803</v>
      </c>
      <c r="Z19" s="626">
        <v>0.43232474627173301</v>
      </c>
      <c r="AA19" s="626">
        <v>0.42513274997047801</v>
      </c>
      <c r="AB19" s="626">
        <v>0.41904774743936202</v>
      </c>
      <c r="AC19" s="626">
        <v>0.41386219829051496</v>
      </c>
      <c r="AD19" s="626">
        <v>0.40978368112642599</v>
      </c>
      <c r="AE19" s="626">
        <v>0.40680308787685598</v>
      </c>
      <c r="AF19" s="626">
        <v>0.40486657965232598</v>
      </c>
      <c r="AG19" s="626">
        <v>0.40391926307491799</v>
      </c>
    </row>
    <row r="20" spans="1:33" x14ac:dyDescent="0.3">
      <c r="A20" s="369" t="s">
        <v>379</v>
      </c>
      <c r="B20" s="370" t="s">
        <v>379</v>
      </c>
      <c r="C20" s="626">
        <v>0.59515129794142396</v>
      </c>
      <c r="D20" s="626">
        <v>0.59876311733523202</v>
      </c>
      <c r="E20" s="626">
        <v>0.60270796159414797</v>
      </c>
      <c r="F20" s="626">
        <v>0.60672925965128899</v>
      </c>
      <c r="G20" s="626">
        <v>0.61051792796496096</v>
      </c>
      <c r="H20" s="626">
        <v>0.61391453768549198</v>
      </c>
      <c r="I20" s="626">
        <v>0.61542524200044901</v>
      </c>
      <c r="J20" s="626">
        <v>0.61660836763390003</v>
      </c>
      <c r="K20" s="626">
        <v>0.61760730534767305</v>
      </c>
      <c r="L20" s="626">
        <v>0.61854685687468403</v>
      </c>
      <c r="M20" s="626">
        <v>0.61955113658987904</v>
      </c>
      <c r="N20" s="626">
        <v>0.62099569188233705</v>
      </c>
      <c r="O20" s="626">
        <v>0.62262211394796996</v>
      </c>
      <c r="P20" s="626">
        <v>0.62449661127229295</v>
      </c>
      <c r="Q20" s="626">
        <v>0.62666023879111998</v>
      </c>
      <c r="R20" s="626">
        <v>0.629136208269093</v>
      </c>
      <c r="S20" s="626">
        <v>0.63132550981297897</v>
      </c>
      <c r="T20" s="626">
        <v>0.633371812665945</v>
      </c>
      <c r="U20" s="626">
        <v>0.63535718603214997</v>
      </c>
      <c r="V20" s="626">
        <v>0.63740169634197696</v>
      </c>
      <c r="W20" s="626">
        <v>0.63953803631472805</v>
      </c>
      <c r="X20" s="626">
        <v>0.64143001918271092</v>
      </c>
      <c r="Y20" s="626">
        <v>0.64338633358715203</v>
      </c>
      <c r="Z20" s="626">
        <v>0.64522523049917302</v>
      </c>
      <c r="AA20" s="626">
        <v>0.64664703018091796</v>
      </c>
      <c r="AB20" s="626">
        <v>0.6474582118810901</v>
      </c>
      <c r="AC20" s="626">
        <v>0.64744345872509801</v>
      </c>
      <c r="AD20" s="626">
        <v>0.64682854593538697</v>
      </c>
      <c r="AE20" s="626">
        <v>0.64571961985685211</v>
      </c>
      <c r="AF20" s="626">
        <v>0.64428523922022696</v>
      </c>
      <c r="AG20" s="626">
        <v>0.64259051472918505</v>
      </c>
    </row>
    <row r="21" spans="1:33" x14ac:dyDescent="0.3">
      <c r="A21" s="369" t="s">
        <v>55</v>
      </c>
      <c r="B21" s="370" t="s">
        <v>55</v>
      </c>
      <c r="C21" s="626">
        <v>0.71645900905892401</v>
      </c>
      <c r="D21" s="626">
        <v>0.71207972161631305</v>
      </c>
      <c r="E21" s="626">
        <v>0.71066585664430204</v>
      </c>
      <c r="F21" s="626">
        <v>0.70929090248222404</v>
      </c>
      <c r="G21" s="626">
        <v>0.70793924096312399</v>
      </c>
      <c r="H21" s="626">
        <v>0.70659828493617316</v>
      </c>
      <c r="I21" s="626">
        <v>0.70514298083750304</v>
      </c>
      <c r="J21" s="626">
        <v>0.70360746848901801</v>
      </c>
      <c r="K21" s="626">
        <v>0.70203559191994602</v>
      </c>
      <c r="L21" s="626">
        <v>0.70049342215077504</v>
      </c>
      <c r="M21" s="626">
        <v>0.69902220405937998</v>
      </c>
      <c r="N21" s="626">
        <v>0.69771809136412299</v>
      </c>
      <c r="O21" s="626">
        <v>0.69643489217961507</v>
      </c>
      <c r="P21" s="626">
        <v>0.69517521672934213</v>
      </c>
      <c r="Q21" s="626">
        <v>0.69395385293900402</v>
      </c>
      <c r="R21" s="626">
        <v>0.69278304366717802</v>
      </c>
      <c r="S21" s="626">
        <v>0.69182119902332806</v>
      </c>
      <c r="T21" s="626">
        <v>0.69093792784795904</v>
      </c>
      <c r="U21" s="626">
        <v>0.69009159764699601</v>
      </c>
      <c r="V21" s="626">
        <v>0.6890396213656671</v>
      </c>
      <c r="W21" s="626">
        <v>0.68767173139876303</v>
      </c>
      <c r="X21" s="626">
        <v>0.68601313303582001</v>
      </c>
      <c r="Y21" s="626">
        <v>0.68404103534870397</v>
      </c>
      <c r="Z21" s="626">
        <v>0.68178147070563899</v>
      </c>
      <c r="AA21" s="626">
        <v>0.679275141507936</v>
      </c>
      <c r="AB21" s="626">
        <v>0.67654455554906601</v>
      </c>
      <c r="AC21" s="626">
        <v>0.67358097422721697</v>
      </c>
      <c r="AD21" s="626">
        <v>0.67035572300613</v>
      </c>
      <c r="AE21" s="626">
        <v>0.66688013850662398</v>
      </c>
      <c r="AF21" s="626">
        <v>0.66317619372985803</v>
      </c>
      <c r="AG21" s="626">
        <v>0.65924928294499996</v>
      </c>
    </row>
    <row r="22" spans="1:33" x14ac:dyDescent="0.3">
      <c r="A22" s="369" t="s">
        <v>56</v>
      </c>
      <c r="B22" s="370" t="s">
        <v>56</v>
      </c>
      <c r="C22" s="626">
        <v>0.63086156106230196</v>
      </c>
      <c r="D22" s="626">
        <v>0.63073110412863898</v>
      </c>
      <c r="E22" s="626">
        <v>0.63025811903211804</v>
      </c>
      <c r="F22" s="626">
        <v>0.62961856584972598</v>
      </c>
      <c r="G22" s="626">
        <v>0.62908110852658194</v>
      </c>
      <c r="H22" s="626">
        <v>0.62892723002923701</v>
      </c>
      <c r="I22" s="626">
        <v>0.62466834263516302</v>
      </c>
      <c r="J22" s="626">
        <v>0.62070316256904601</v>
      </c>
      <c r="K22" s="626">
        <v>0.61702012534490502</v>
      </c>
      <c r="L22" s="626">
        <v>0.61368094762025804</v>
      </c>
      <c r="M22" s="626">
        <v>0.61073540154875405</v>
      </c>
      <c r="N22" s="626">
        <v>0.61004751643697397</v>
      </c>
      <c r="O22" s="626">
        <v>0.609957143554688</v>
      </c>
      <c r="P22" s="626">
        <v>0.61023145932505996</v>
      </c>
      <c r="Q22" s="626">
        <v>0.61060571983888401</v>
      </c>
      <c r="R22" s="626">
        <v>0.610977286904683</v>
      </c>
      <c r="S22" s="626">
        <v>0.61230263266684803</v>
      </c>
      <c r="T22" s="626">
        <v>0.61360707098854494</v>
      </c>
      <c r="U22" s="626">
        <v>0.61544788144766105</v>
      </c>
      <c r="V22" s="626">
        <v>0.61712531176682495</v>
      </c>
      <c r="W22" s="626">
        <v>0.61860710828810705</v>
      </c>
      <c r="X22" s="626">
        <v>0.62042655389870005</v>
      </c>
      <c r="Y22" s="626">
        <v>0.62208586394853405</v>
      </c>
      <c r="Z22" s="626">
        <v>0.62347379318410401</v>
      </c>
      <c r="AA22" s="626">
        <v>0.62461610623985198</v>
      </c>
      <c r="AB22" s="626">
        <v>0.62557471030191303</v>
      </c>
      <c r="AC22" s="626">
        <v>0.62693113607829798</v>
      </c>
      <c r="AD22" s="626">
        <v>0.628193762551576</v>
      </c>
      <c r="AE22" s="626">
        <v>0.62903636839660904</v>
      </c>
      <c r="AF22" s="626">
        <v>0.62912494601659297</v>
      </c>
      <c r="AG22" s="626">
        <v>0.62830705576771995</v>
      </c>
    </row>
    <row r="23" spans="1:33" x14ac:dyDescent="0.3">
      <c r="A23" s="369" t="s">
        <v>731</v>
      </c>
      <c r="B23" s="370" t="s">
        <v>165</v>
      </c>
      <c r="C23" s="626">
        <v>0.59567028582797499</v>
      </c>
      <c r="D23" s="626">
        <v>0.59560720123636701</v>
      </c>
      <c r="E23" s="626">
        <v>0.59547677105908703</v>
      </c>
      <c r="F23" s="626">
        <v>0.59531288710766594</v>
      </c>
      <c r="G23" s="626">
        <v>0.59514835379366104</v>
      </c>
      <c r="H23" s="626">
        <v>0.59498851865537095</v>
      </c>
      <c r="I23" s="626">
        <v>0.59500637039513005</v>
      </c>
      <c r="J23" s="626">
        <v>0.595049300781891</v>
      </c>
      <c r="K23" s="626">
        <v>0.59511140153642805</v>
      </c>
      <c r="L23" s="626">
        <v>0.59285679871665797</v>
      </c>
      <c r="M23" s="626">
        <v>0.59064193830730705</v>
      </c>
      <c r="N23" s="626">
        <v>0.58871720407820005</v>
      </c>
      <c r="O23" s="626">
        <v>0.58684383653107397</v>
      </c>
      <c r="P23" s="626">
        <v>0.58500277216038998</v>
      </c>
      <c r="Q23" s="626">
        <v>0.58317953889739904</v>
      </c>
      <c r="R23" s="626">
        <v>0.58137614542184901</v>
      </c>
      <c r="S23" s="626">
        <v>0.57973051217372995</v>
      </c>
      <c r="T23" s="626">
        <v>0.57805410643935795</v>
      </c>
      <c r="U23" s="626">
        <v>0.57645293535584796</v>
      </c>
      <c r="V23" s="626">
        <v>0.57497660764904202</v>
      </c>
      <c r="W23" s="626">
        <v>0.57364842136948002</v>
      </c>
      <c r="X23" s="626">
        <v>0.57251615064138905</v>
      </c>
      <c r="Y23" s="626">
        <v>0.57154350908879004</v>
      </c>
      <c r="Z23" s="626">
        <v>0.570674165328938</v>
      </c>
      <c r="AA23" s="626">
        <v>0.56983175080264004</v>
      </c>
      <c r="AB23" s="626">
        <v>0.56896799410312604</v>
      </c>
      <c r="AC23" s="626">
        <v>0.56811356895555998</v>
      </c>
      <c r="AD23" s="626">
        <v>0.56724796029946201</v>
      </c>
      <c r="AE23" s="626">
        <v>0.56639254683342699</v>
      </c>
      <c r="AF23" s="626">
        <v>0.56558875426366695</v>
      </c>
      <c r="AG23" s="626">
        <v>0.56485379585594897</v>
      </c>
    </row>
    <row r="24" spans="1:33" x14ac:dyDescent="0.3">
      <c r="A24" s="369" t="s">
        <v>346</v>
      </c>
      <c r="B24" s="370" t="s">
        <v>346</v>
      </c>
      <c r="C24" s="626">
        <v>0.64179705826036293</v>
      </c>
      <c r="D24" s="626">
        <v>0.64127767426707405</v>
      </c>
      <c r="E24" s="626">
        <v>0.64046847858475109</v>
      </c>
      <c r="F24" s="626">
        <v>0.63960148003330897</v>
      </c>
      <c r="G24" s="626">
        <v>0.63903361872799302</v>
      </c>
      <c r="H24" s="626">
        <v>0.63898683737121498</v>
      </c>
      <c r="I24" s="626">
        <v>0.63943660785877798</v>
      </c>
      <c r="J24" s="626">
        <v>0.63869410605230303</v>
      </c>
      <c r="K24" s="626">
        <v>0.63826366385081501</v>
      </c>
      <c r="L24" s="626">
        <v>0.63775716351649503</v>
      </c>
      <c r="M24" s="626">
        <v>0.63694386718467499</v>
      </c>
      <c r="N24" s="626">
        <v>0.63797940803934605</v>
      </c>
      <c r="O24" s="626">
        <v>0.63770328134169796</v>
      </c>
      <c r="P24" s="626">
        <v>0.63598655342445198</v>
      </c>
      <c r="Q24" s="626">
        <v>0.63354047309811701</v>
      </c>
      <c r="R24" s="626">
        <v>0.63124883788375696</v>
      </c>
      <c r="S24" s="626">
        <v>0.63145764980848396</v>
      </c>
      <c r="T24" s="626">
        <v>0.63305139922572695</v>
      </c>
      <c r="U24" s="626">
        <v>0.63529804237322096</v>
      </c>
      <c r="V24" s="626">
        <v>0.63693822139787504</v>
      </c>
      <c r="W24" s="626">
        <v>0.637136734241597</v>
      </c>
      <c r="X24" s="626">
        <v>0.63613689837402898</v>
      </c>
      <c r="Y24" s="626">
        <v>0.63424317855008105</v>
      </c>
      <c r="Z24" s="626">
        <v>0.63175279656628003</v>
      </c>
      <c r="AA24" s="626">
        <v>0.62921563513683298</v>
      </c>
      <c r="AB24" s="626">
        <v>0.62698787064668005</v>
      </c>
      <c r="AC24" s="626">
        <v>0.62495206923315305</v>
      </c>
      <c r="AD24" s="626">
        <v>0.623087113413344</v>
      </c>
      <c r="AE24" s="626">
        <v>0.62143864251901704</v>
      </c>
      <c r="AF24" s="626">
        <v>0.62004570771459899</v>
      </c>
      <c r="AG24" s="626">
        <v>0.61893937775031604</v>
      </c>
    </row>
    <row r="25" spans="1:33" x14ac:dyDescent="0.3">
      <c r="A25" s="369" t="s">
        <v>296</v>
      </c>
      <c r="B25" s="370" t="s">
        <v>296</v>
      </c>
      <c r="C25" s="626">
        <v>0.38709735019504399</v>
      </c>
      <c r="D25" s="626">
        <v>0.38615480214412701</v>
      </c>
      <c r="E25" s="626">
        <v>0.38871655169736102</v>
      </c>
      <c r="F25" s="626">
        <v>0.39150177920055496</v>
      </c>
      <c r="G25" s="626">
        <v>0.39441868080778703</v>
      </c>
      <c r="H25" s="626">
        <v>0.39740793613987596</v>
      </c>
      <c r="I25" s="626">
        <v>0.40084209654925101</v>
      </c>
      <c r="J25" s="626">
        <v>0.40420484670206702</v>
      </c>
      <c r="K25" s="626">
        <v>0.40753756033925398</v>
      </c>
      <c r="L25" s="626">
        <v>0.410938068430238</v>
      </c>
      <c r="M25" s="626">
        <v>0.41444575388994392</v>
      </c>
      <c r="N25" s="626">
        <v>0.41835275144063699</v>
      </c>
      <c r="O25" s="626">
        <v>0.422277297077299</v>
      </c>
      <c r="P25" s="626">
        <v>0.42605751007405901</v>
      </c>
      <c r="Q25" s="626">
        <v>0.42950140396518499</v>
      </c>
      <c r="R25" s="626">
        <v>0.43248690663104805</v>
      </c>
      <c r="S25" s="626">
        <v>0.43516724740090301</v>
      </c>
      <c r="T25" s="626">
        <v>0.437487301461153</v>
      </c>
      <c r="U25" s="626">
        <v>0.43952773387602101</v>
      </c>
      <c r="V25" s="626">
        <v>0.44140391317087901</v>
      </c>
      <c r="W25" s="626">
        <v>0.44319413122991397</v>
      </c>
      <c r="X25" s="626">
        <v>0.44480520898002401</v>
      </c>
      <c r="Y25" s="626">
        <v>0.44637034056069802</v>
      </c>
      <c r="Z25" s="626">
        <v>0.44791177940150495</v>
      </c>
      <c r="AA25" s="626">
        <v>0.44943228982751598</v>
      </c>
      <c r="AB25" s="626">
        <v>0.45094905924950401</v>
      </c>
      <c r="AC25" s="626">
        <v>0.45238972640146102</v>
      </c>
      <c r="AD25" s="626">
        <v>0.45386343956480701</v>
      </c>
      <c r="AE25" s="626">
        <v>0.45545765724567305</v>
      </c>
      <c r="AF25" s="626">
        <v>0.45727800739405294</v>
      </c>
      <c r="AG25" s="626">
        <v>0.45939106451086298</v>
      </c>
    </row>
    <row r="26" spans="1:33" x14ac:dyDescent="0.3">
      <c r="A26" s="369" t="s">
        <v>168</v>
      </c>
      <c r="B26" s="370" t="s">
        <v>168</v>
      </c>
      <c r="C26" s="626">
        <v>0.61302823285851704</v>
      </c>
      <c r="D26" s="626">
        <v>0.60782752061091105</v>
      </c>
      <c r="E26" s="626">
        <v>0.60297260479393799</v>
      </c>
      <c r="F26" s="626">
        <v>0.59835211583452497</v>
      </c>
      <c r="G26" s="626">
        <v>0.59380511686468496</v>
      </c>
      <c r="H26" s="626">
        <v>0.58922644740790298</v>
      </c>
      <c r="I26" s="626">
        <v>0.58460356124656498</v>
      </c>
      <c r="J26" s="626">
        <v>0.57999377220633197</v>
      </c>
      <c r="K26" s="626">
        <v>0.57530663778814894</v>
      </c>
      <c r="L26" s="626">
        <v>0.57042648814344599</v>
      </c>
      <c r="M26" s="626">
        <v>0.56529693797678904</v>
      </c>
      <c r="N26" s="626">
        <v>0.55946973562873303</v>
      </c>
      <c r="O26" s="626">
        <v>0.55364455296894199</v>
      </c>
      <c r="P26" s="626">
        <v>0.54795042476167299</v>
      </c>
      <c r="Q26" s="626">
        <v>0.54256504378479198</v>
      </c>
      <c r="R26" s="626">
        <v>0.53759909363826097</v>
      </c>
      <c r="S26" s="626">
        <v>0.53299622981259598</v>
      </c>
      <c r="T26" s="626">
        <v>0.52880893703952703</v>
      </c>
      <c r="U26" s="626">
        <v>0.52504871070907999</v>
      </c>
      <c r="V26" s="626">
        <v>0.52171689253006903</v>
      </c>
      <c r="W26" s="626">
        <v>0.51880824423726901</v>
      </c>
      <c r="X26" s="626">
        <v>0.51630089389520195</v>
      </c>
      <c r="Y26" s="626">
        <v>0.514245942054116</v>
      </c>
      <c r="Z26" s="626">
        <v>0.51256379629628501</v>
      </c>
      <c r="AA26" s="626">
        <v>0.51113184422924696</v>
      </c>
      <c r="AB26" s="626">
        <v>0.50987092220332197</v>
      </c>
      <c r="AC26" s="626">
        <v>0.50876479903846605</v>
      </c>
      <c r="AD26" s="626">
        <v>0.50785153149186901</v>
      </c>
      <c r="AE26" s="626">
        <v>0.50712911129113103</v>
      </c>
      <c r="AF26" s="626">
        <v>0.50660337479592199</v>
      </c>
      <c r="AG26" s="626">
        <v>0.50628160239712905</v>
      </c>
    </row>
    <row r="27" spans="1:33" x14ac:dyDescent="0.3">
      <c r="A27" s="369" t="s">
        <v>309</v>
      </c>
      <c r="B27" s="370" t="s">
        <v>309</v>
      </c>
      <c r="C27" s="626">
        <v>0.57902676329081104</v>
      </c>
      <c r="D27" s="626">
        <v>0.57500624944961398</v>
      </c>
      <c r="E27" s="626">
        <v>0.57066025350271998</v>
      </c>
      <c r="F27" s="626">
        <v>0.56668938754259701</v>
      </c>
      <c r="G27" s="626">
        <v>0.56347556704500801</v>
      </c>
      <c r="H27" s="626">
        <v>0.56097443417778903</v>
      </c>
      <c r="I27" s="626">
        <v>0.55761390274942102</v>
      </c>
      <c r="J27" s="626">
        <v>0.55373345245113603</v>
      </c>
      <c r="K27" s="626">
        <v>0.54974546607311503</v>
      </c>
      <c r="L27" s="626">
        <v>0.54589971891814704</v>
      </c>
      <c r="M27" s="626">
        <v>0.54230279499256295</v>
      </c>
      <c r="N27" s="626">
        <v>0.54322609161673496</v>
      </c>
      <c r="O27" s="626">
        <v>0.54424179919131599</v>
      </c>
      <c r="P27" s="626">
        <v>0.54508423924850302</v>
      </c>
      <c r="Q27" s="626">
        <v>0.54566906563800099</v>
      </c>
      <c r="R27" s="626">
        <v>0.54596567192450796</v>
      </c>
      <c r="S27" s="626">
        <v>0.54564349543576995</v>
      </c>
      <c r="T27" s="626">
        <v>0.54504032321504903</v>
      </c>
      <c r="U27" s="626">
        <v>0.54431515393978602</v>
      </c>
      <c r="V27" s="626">
        <v>0.54380142517613095</v>
      </c>
      <c r="W27" s="626">
        <v>0.54362514405003304</v>
      </c>
      <c r="X27" s="626">
        <v>0.54374447373328105</v>
      </c>
      <c r="Y27" s="626">
        <v>0.54425462081383402</v>
      </c>
      <c r="Z27" s="626">
        <v>0.54488399952252697</v>
      </c>
      <c r="AA27" s="626">
        <v>0.54515684777958395</v>
      </c>
      <c r="AB27" s="626">
        <v>0.54478483946763601</v>
      </c>
      <c r="AC27" s="626">
        <v>0.54380988497452898</v>
      </c>
      <c r="AD27" s="626">
        <v>0.54225378011155101</v>
      </c>
      <c r="AE27" s="626">
        <v>0.540366872604788</v>
      </c>
      <c r="AF27" s="626">
        <v>0.53857750380438996</v>
      </c>
      <c r="AG27" s="626">
        <v>0.53713338014698897</v>
      </c>
    </row>
    <row r="28" spans="1:33" x14ac:dyDescent="0.3">
      <c r="A28" s="369" t="s">
        <v>326</v>
      </c>
      <c r="B28" s="370" t="s">
        <v>326</v>
      </c>
      <c r="C28" s="626">
        <v>0.65486761450552</v>
      </c>
      <c r="D28" s="626">
        <v>0.6497597864700011</v>
      </c>
      <c r="E28" s="626">
        <v>0.64418894419764916</v>
      </c>
      <c r="F28" s="626">
        <v>0.63855230610327096</v>
      </c>
      <c r="G28" s="626">
        <v>0.63319549994484403</v>
      </c>
      <c r="H28" s="626">
        <v>0.62834661588143004</v>
      </c>
      <c r="I28" s="626">
        <v>0.62409008621475903</v>
      </c>
      <c r="J28" s="626">
        <v>0.62018105927171596</v>
      </c>
      <c r="K28" s="626">
        <v>0.61658847912987202</v>
      </c>
      <c r="L28" s="626">
        <v>0.61330014877403605</v>
      </c>
      <c r="M28" s="626">
        <v>0.61031769586254203</v>
      </c>
      <c r="N28" s="626">
        <v>0.60803307277304897</v>
      </c>
      <c r="O28" s="626">
        <v>0.60607159671650601</v>
      </c>
      <c r="P28" s="626">
        <v>0.60457093901147196</v>
      </c>
      <c r="Q28" s="626">
        <v>0.60305336821710498</v>
      </c>
      <c r="R28" s="626">
        <v>0.60117577908450404</v>
      </c>
      <c r="S28" s="626">
        <v>0.59923765435369203</v>
      </c>
      <c r="T28" s="626">
        <v>0.59702093111200005</v>
      </c>
      <c r="U28" s="626">
        <v>0.59432041612137898</v>
      </c>
      <c r="V28" s="626">
        <v>0.59087823201968204</v>
      </c>
      <c r="W28" s="626">
        <v>0.58653242494744096</v>
      </c>
      <c r="X28" s="626">
        <v>0.581307140035484</v>
      </c>
      <c r="Y28" s="626">
        <v>0.57507518018188797</v>
      </c>
      <c r="Z28" s="626">
        <v>0.56823299138080596</v>
      </c>
      <c r="AA28" s="626">
        <v>0.56144071338675405</v>
      </c>
      <c r="AB28" s="626">
        <v>0.555138048700618</v>
      </c>
      <c r="AC28" s="626">
        <v>0.54934223120644798</v>
      </c>
      <c r="AD28" s="626">
        <v>0.54404880043620496</v>
      </c>
      <c r="AE28" s="626">
        <v>0.53932424536634505</v>
      </c>
      <c r="AF28" s="626">
        <v>0.53522339106858496</v>
      </c>
      <c r="AG28" s="626">
        <v>0.53178720529188295</v>
      </c>
    </row>
    <row r="29" spans="1:33" x14ac:dyDescent="0.3">
      <c r="A29" s="369" t="s">
        <v>31</v>
      </c>
      <c r="B29" s="370" t="s">
        <v>31</v>
      </c>
      <c r="C29" s="626">
        <v>0.78193197884840204</v>
      </c>
      <c r="D29" s="626">
        <v>0.78070104147252295</v>
      </c>
      <c r="E29" s="626">
        <v>0.77958796647202699</v>
      </c>
      <c r="F29" s="626">
        <v>0.77851048477828499</v>
      </c>
      <c r="G29" s="626">
        <v>0.77736576210146613</v>
      </c>
      <c r="H29" s="626">
        <v>0.77609205137876003</v>
      </c>
      <c r="I29" s="626">
        <v>0.774965865195274</v>
      </c>
      <c r="J29" s="626">
        <v>0.77369261438199</v>
      </c>
      <c r="K29" s="626">
        <v>0.77227535584807616</v>
      </c>
      <c r="L29" s="626">
        <v>0.77074536004991001</v>
      </c>
      <c r="M29" s="626">
        <v>0.76913139536702901</v>
      </c>
      <c r="N29" s="626">
        <v>0.768773401428402</v>
      </c>
      <c r="O29" s="626">
        <v>0.768306574672315</v>
      </c>
      <c r="P29" s="626">
        <v>0.76772556905085299</v>
      </c>
      <c r="Q29" s="626">
        <v>0.76704611374210896</v>
      </c>
      <c r="R29" s="626">
        <v>0.76629862569489504</v>
      </c>
      <c r="S29" s="626">
        <v>0.76571962100631696</v>
      </c>
      <c r="T29" s="626">
        <v>0.76508829887625995</v>
      </c>
      <c r="U29" s="626">
        <v>0.76438131314177094</v>
      </c>
      <c r="V29" s="626">
        <v>0.76323600172218098</v>
      </c>
      <c r="W29" s="626">
        <v>0.76158996132617895</v>
      </c>
      <c r="X29" s="626">
        <v>0.759659103010075</v>
      </c>
      <c r="Y29" s="626">
        <v>0.75724319467326295</v>
      </c>
      <c r="Z29" s="626">
        <v>0.75442082105611386</v>
      </c>
      <c r="AA29" s="626">
        <v>0.75131329119818002</v>
      </c>
      <c r="AB29" s="626">
        <v>0.74799466227202993</v>
      </c>
      <c r="AC29" s="626">
        <v>0.74459888840903599</v>
      </c>
      <c r="AD29" s="626">
        <v>0.74094829972152298</v>
      </c>
      <c r="AE29" s="626">
        <v>0.73699308454822698</v>
      </c>
      <c r="AF29" s="626">
        <v>0.73268163168262901</v>
      </c>
      <c r="AG29" s="626">
        <v>0.72799054839785815</v>
      </c>
    </row>
    <row r="30" spans="1:33" x14ac:dyDescent="0.3">
      <c r="A30" s="369" t="s">
        <v>57</v>
      </c>
      <c r="B30" s="370" t="s">
        <v>57</v>
      </c>
      <c r="C30" s="626">
        <v>0.57726161809973198</v>
      </c>
      <c r="D30" s="626">
        <v>0.57254640252633404</v>
      </c>
      <c r="E30" s="626">
        <v>0.56838100982615702</v>
      </c>
      <c r="F30" s="626">
        <v>0.56499122212404995</v>
      </c>
      <c r="G30" s="626">
        <v>0.56267349261622202</v>
      </c>
      <c r="H30" s="626">
        <v>0.56155346830901298</v>
      </c>
      <c r="I30" s="626">
        <v>0.56162240948381503</v>
      </c>
      <c r="J30" s="626">
        <v>0.562686179929754</v>
      </c>
      <c r="K30" s="626">
        <v>0.56465835937243403</v>
      </c>
      <c r="L30" s="626">
        <v>0.56744143586531604</v>
      </c>
      <c r="M30" s="626">
        <v>0.57090838379934306</v>
      </c>
      <c r="N30" s="626">
        <v>0.57053906594098003</v>
      </c>
      <c r="O30" s="626">
        <v>0.57062846575633497</v>
      </c>
      <c r="P30" s="626">
        <v>0.57080561123618101</v>
      </c>
      <c r="Q30" s="626">
        <v>0.57057721387559301</v>
      </c>
      <c r="R30" s="626">
        <v>0.56967638907447704</v>
      </c>
      <c r="S30" s="626">
        <v>0.56843519367994999</v>
      </c>
      <c r="T30" s="626">
        <v>0.56671349436453999</v>
      </c>
      <c r="U30" s="626">
        <v>0.56460404190717395</v>
      </c>
      <c r="V30" s="626">
        <v>0.56208116324802404</v>
      </c>
      <c r="W30" s="626">
        <v>0.55910662210612505</v>
      </c>
      <c r="X30" s="626">
        <v>0.55562876308028997</v>
      </c>
      <c r="Y30" s="626">
        <v>0.55171046866032802</v>
      </c>
      <c r="Z30" s="626">
        <v>0.54747680890909101</v>
      </c>
      <c r="AA30" s="626">
        <v>0.54309646663641997</v>
      </c>
      <c r="AB30" s="626">
        <v>0.53869757268593699</v>
      </c>
      <c r="AC30" s="626">
        <v>0.53423394856036699</v>
      </c>
      <c r="AD30" s="626">
        <v>0.52974454305387597</v>
      </c>
      <c r="AE30" s="626">
        <v>0.525406318121314</v>
      </c>
      <c r="AF30" s="626">
        <v>0.52144462528657698</v>
      </c>
      <c r="AG30" s="626">
        <v>0.51798632139997303</v>
      </c>
    </row>
    <row r="31" spans="1:33" x14ac:dyDescent="0.3">
      <c r="A31" s="369" t="s">
        <v>495</v>
      </c>
      <c r="B31" s="370" t="s">
        <v>495</v>
      </c>
      <c r="C31" s="626">
        <v>0.436592598258076</v>
      </c>
      <c r="D31" s="626">
        <v>0.43384808520469498</v>
      </c>
      <c r="E31" s="626">
        <v>0.43093067824121806</v>
      </c>
      <c r="F31" s="626">
        <v>0.42800292161893305</v>
      </c>
      <c r="G31" s="626">
        <v>0.42528620651545601</v>
      </c>
      <c r="H31" s="626">
        <v>0.42297454681089097</v>
      </c>
      <c r="I31" s="626">
        <v>0.42292797279597799</v>
      </c>
      <c r="J31" s="626">
        <v>0.42304271449113301</v>
      </c>
      <c r="K31" s="626">
        <v>0.423213023033082</v>
      </c>
      <c r="L31" s="626">
        <v>0.42360630781714897</v>
      </c>
      <c r="M31" s="626">
        <v>0.42438776235238501</v>
      </c>
      <c r="N31" s="626">
        <v>0.42837225219150399</v>
      </c>
      <c r="O31" s="626">
        <v>0.43323892049232399</v>
      </c>
      <c r="P31" s="626">
        <v>0.43855393119765201</v>
      </c>
      <c r="Q31" s="626">
        <v>0.44380922639042403</v>
      </c>
      <c r="R31" s="626">
        <v>0.44860412578166903</v>
      </c>
      <c r="S31" s="626">
        <v>0.45291580339944493</v>
      </c>
      <c r="T31" s="626">
        <v>0.45708619546673207</v>
      </c>
      <c r="U31" s="626">
        <v>0.46098146676747498</v>
      </c>
      <c r="V31" s="626">
        <v>0.46458711484403603</v>
      </c>
      <c r="W31" s="626">
        <v>0.46785309346528497</v>
      </c>
      <c r="X31" s="626">
        <v>0.47086867952296002</v>
      </c>
      <c r="Y31" s="626">
        <v>0.47378368926313003</v>
      </c>
      <c r="Z31" s="626">
        <v>0.47648446919839998</v>
      </c>
      <c r="AA31" s="626">
        <v>0.478882380356283</v>
      </c>
      <c r="AB31" s="626">
        <v>0.48092091965864098</v>
      </c>
      <c r="AC31" s="626">
        <v>0.48254651823213501</v>
      </c>
      <c r="AD31" s="626">
        <v>0.48404907518886098</v>
      </c>
      <c r="AE31" s="626">
        <v>0.48548686973035499</v>
      </c>
      <c r="AF31" s="626">
        <v>0.486995237188387</v>
      </c>
      <c r="AG31" s="626">
        <v>0.48864855894395892</v>
      </c>
    </row>
    <row r="32" spans="1:33" x14ac:dyDescent="0.3">
      <c r="A32" s="369" t="s">
        <v>58</v>
      </c>
      <c r="B32" s="370" t="s">
        <v>58</v>
      </c>
      <c r="C32" s="626">
        <v>0.62951805359977597</v>
      </c>
      <c r="D32" s="626">
        <v>0.62471350467901299</v>
      </c>
      <c r="E32" s="626">
        <v>0.62421419736061701</v>
      </c>
      <c r="F32" s="626">
        <v>0.62715001648734303</v>
      </c>
      <c r="G32" s="626">
        <v>0.63128166390463303</v>
      </c>
      <c r="H32" s="626">
        <v>0.63460701074410797</v>
      </c>
      <c r="I32" s="626">
        <v>0.63847790762686896</v>
      </c>
      <c r="J32" s="626">
        <v>0.64151979549118787</v>
      </c>
      <c r="K32" s="626">
        <v>0.64367513489443096</v>
      </c>
      <c r="L32" s="626">
        <v>0.64593541547288291</v>
      </c>
      <c r="M32" s="626">
        <v>0.64904607052347796</v>
      </c>
      <c r="N32" s="626">
        <v>0.65073716551285499</v>
      </c>
      <c r="O32" s="626">
        <v>0.6533557048261559</v>
      </c>
      <c r="P32" s="626">
        <v>0.65662426505255989</v>
      </c>
      <c r="Q32" s="626">
        <v>0.66005860872262101</v>
      </c>
      <c r="R32" s="626">
        <v>0.66313535009183899</v>
      </c>
      <c r="S32" s="626">
        <v>0.66606041628812296</v>
      </c>
      <c r="T32" s="626">
        <v>0.66876025014911111</v>
      </c>
      <c r="U32" s="626">
        <v>0.67096805553917704</v>
      </c>
      <c r="V32" s="626">
        <v>0.67235510836614698</v>
      </c>
      <c r="W32" s="626">
        <v>0.67274615798227499</v>
      </c>
      <c r="X32" s="626">
        <v>0.67229219244199001</v>
      </c>
      <c r="Y32" s="626">
        <v>0.67085502279976605</v>
      </c>
      <c r="Z32" s="626">
        <v>0.66866177297273199</v>
      </c>
      <c r="AA32" s="626">
        <v>0.66608794282002604</v>
      </c>
      <c r="AB32" s="626">
        <v>0.66337670825248696</v>
      </c>
      <c r="AC32" s="626">
        <v>0.66062910025950305</v>
      </c>
      <c r="AD32" s="626">
        <v>0.65782257621191897</v>
      </c>
      <c r="AE32" s="626">
        <v>0.65481754102380696</v>
      </c>
      <c r="AF32" s="626">
        <v>0.65135058106016208</v>
      </c>
      <c r="AG32" s="626">
        <v>0.64725924476945995</v>
      </c>
    </row>
    <row r="33" spans="1:33" x14ac:dyDescent="0.3">
      <c r="A33" s="369" t="s">
        <v>59</v>
      </c>
      <c r="B33" s="370" t="s">
        <v>59</v>
      </c>
      <c r="C33" s="626">
        <v>0.68264251200399595</v>
      </c>
      <c r="D33" s="626">
        <v>0.68102702577178809</v>
      </c>
      <c r="E33" s="626">
        <v>0.67956200092491403</v>
      </c>
      <c r="F33" s="626">
        <v>0.67829119021866702</v>
      </c>
      <c r="G33" s="626">
        <v>0.67727071970533703</v>
      </c>
      <c r="H33" s="626">
        <v>0.67104652473120696</v>
      </c>
      <c r="I33" s="626">
        <v>0.66516777424837303</v>
      </c>
      <c r="J33" s="626">
        <v>0.65947679236255996</v>
      </c>
      <c r="K33" s="626">
        <v>0.65393369343219998</v>
      </c>
      <c r="L33" s="626">
        <v>0.64848929234889596</v>
      </c>
      <c r="M33" s="626">
        <v>0.64310480588816699</v>
      </c>
      <c r="N33" s="626">
        <v>0.63796618340987699</v>
      </c>
      <c r="O33" s="626">
        <v>0.63278330958633899</v>
      </c>
      <c r="P33" s="626">
        <v>0.62760492694373304</v>
      </c>
      <c r="Q33" s="626">
        <v>0.62228619435451404</v>
      </c>
      <c r="R33" s="626">
        <v>0.61675532333352601</v>
      </c>
      <c r="S33" s="626">
        <v>0.61115628244067299</v>
      </c>
      <c r="T33" s="626">
        <v>0.60539027226307196</v>
      </c>
      <c r="U33" s="626">
        <v>0.59952388800061596</v>
      </c>
      <c r="V33" s="626">
        <v>0.59365137843532101</v>
      </c>
      <c r="W33" s="626">
        <v>0.58783798092876705</v>
      </c>
      <c r="X33" s="626">
        <v>0.58212251481063504</v>
      </c>
      <c r="Y33" s="626">
        <v>0.57646305283401</v>
      </c>
      <c r="Z33" s="626">
        <v>0.57091954866581596</v>
      </c>
      <c r="AA33" s="626">
        <v>0.56557250445588603</v>
      </c>
      <c r="AB33" s="626">
        <v>0.56047734340556898</v>
      </c>
      <c r="AC33" s="626">
        <v>0.55566608644150295</v>
      </c>
      <c r="AD33" s="626">
        <v>0.55110124677498795</v>
      </c>
      <c r="AE33" s="626">
        <v>0.54679881991797796</v>
      </c>
      <c r="AF33" s="626">
        <v>0.54277869751999497</v>
      </c>
      <c r="AG33" s="626">
        <v>0.53905270629903101</v>
      </c>
    </row>
    <row r="34" spans="1:33" x14ac:dyDescent="0.3">
      <c r="A34" s="369" t="s">
        <v>722</v>
      </c>
      <c r="B34" s="370" t="s">
        <v>521</v>
      </c>
      <c r="C34" s="626">
        <v>0.74959985080442015</v>
      </c>
      <c r="D34" s="626">
        <v>0.74980860473351196</v>
      </c>
      <c r="E34" s="626">
        <v>0.75003554158931796</v>
      </c>
      <c r="F34" s="626">
        <v>0.75032744313286703</v>
      </c>
      <c r="G34" s="626">
        <v>0.75073311726374203</v>
      </c>
      <c r="H34" s="626">
        <v>0.75127605990896995</v>
      </c>
      <c r="I34" s="626">
        <v>0.75189842373523486</v>
      </c>
      <c r="J34" s="626">
        <v>0.75247501686080298</v>
      </c>
      <c r="K34" s="626">
        <v>0.75296173676838596</v>
      </c>
      <c r="L34" s="626">
        <v>0.75331416298100795</v>
      </c>
      <c r="M34" s="626">
        <v>0.75353916213969996</v>
      </c>
      <c r="N34" s="626">
        <v>0.75363482693471295</v>
      </c>
      <c r="O34" s="626">
        <v>0.75300421100469095</v>
      </c>
      <c r="P34" s="626">
        <v>0.75150788243329703</v>
      </c>
      <c r="Q34" s="626">
        <v>0.74927571366559509</v>
      </c>
      <c r="R34" s="626">
        <v>0.74646669797894405</v>
      </c>
      <c r="S34" s="626">
        <v>0.74462264714643989</v>
      </c>
      <c r="T34" s="626">
        <v>0.74234969702111597</v>
      </c>
      <c r="U34" s="626">
        <v>0.73964857140750595</v>
      </c>
      <c r="V34" s="626">
        <v>0.73655083210526395</v>
      </c>
      <c r="W34" s="626">
        <v>0.73310540744920805</v>
      </c>
      <c r="X34" s="626">
        <v>0.73005146015288502</v>
      </c>
      <c r="Y34" s="626">
        <v>0.72669516117833199</v>
      </c>
      <c r="Z34" s="626">
        <v>0.72300680766487202</v>
      </c>
      <c r="AA34" s="626">
        <v>0.718968796931298</v>
      </c>
      <c r="AB34" s="626">
        <v>0.71458097207015403</v>
      </c>
      <c r="AC34" s="626">
        <v>0.71011857472098194</v>
      </c>
      <c r="AD34" s="626">
        <v>0.7053348274251241</v>
      </c>
      <c r="AE34" s="626">
        <v>0.70020346662878696</v>
      </c>
      <c r="AF34" s="626">
        <v>0.69469286733536195</v>
      </c>
      <c r="AG34" s="626">
        <v>0.68878747524009198</v>
      </c>
    </row>
    <row r="35" spans="1:33" x14ac:dyDescent="0.3">
      <c r="A35" s="369" t="s">
        <v>60</v>
      </c>
      <c r="B35" s="370" t="s">
        <v>60</v>
      </c>
      <c r="C35" s="626">
        <v>0.767107994564042</v>
      </c>
      <c r="D35" s="626">
        <v>0.76419504235553704</v>
      </c>
      <c r="E35" s="626">
        <v>0.76133720180299502</v>
      </c>
      <c r="F35" s="626">
        <v>0.75853723990110988</v>
      </c>
      <c r="G35" s="626">
        <v>0.75577731664660386</v>
      </c>
      <c r="H35" s="626">
        <v>0.75355664277212198</v>
      </c>
      <c r="I35" s="626">
        <v>0.75128833020223196</v>
      </c>
      <c r="J35" s="626">
        <v>0.74898373400461016</v>
      </c>
      <c r="K35" s="626">
        <v>0.74669067474102202</v>
      </c>
      <c r="L35" s="626">
        <v>0.74445750930757004</v>
      </c>
      <c r="M35" s="626">
        <v>0.74230604809871503</v>
      </c>
      <c r="N35" s="626">
        <v>0.74022804546038501</v>
      </c>
      <c r="O35" s="626">
        <v>0.73819904074414699</v>
      </c>
      <c r="P35" s="626">
        <v>0.73621616491891606</v>
      </c>
      <c r="Q35" s="626">
        <v>0.73426685572645001</v>
      </c>
      <c r="R35" s="626">
        <v>0.73189521256053613</v>
      </c>
      <c r="S35" s="626">
        <v>0.72912369653782005</v>
      </c>
      <c r="T35" s="626">
        <v>0.72600858802480284</v>
      </c>
      <c r="U35" s="626">
        <v>0.72258590174293802</v>
      </c>
      <c r="V35" s="626">
        <v>0.71889428399744104</v>
      </c>
      <c r="W35" s="626">
        <v>0.714952311546875</v>
      </c>
      <c r="X35" s="626">
        <v>0.71069245727900887</v>
      </c>
      <c r="Y35" s="626">
        <v>0.70613940380854501</v>
      </c>
      <c r="Z35" s="626">
        <v>0.70131459564063103</v>
      </c>
      <c r="AA35" s="626">
        <v>0.69624037120630899</v>
      </c>
      <c r="AB35" s="626">
        <v>0.690930851005359</v>
      </c>
      <c r="AC35" s="626">
        <v>0.685349594634861</v>
      </c>
      <c r="AD35" s="626">
        <v>0.67951127715970605</v>
      </c>
      <c r="AE35" s="626">
        <v>0.67342093359733302</v>
      </c>
      <c r="AF35" s="626">
        <v>0.66707633981066605</v>
      </c>
      <c r="AG35" s="626">
        <v>0.66048341768140806</v>
      </c>
    </row>
    <row r="36" spans="1:33" x14ac:dyDescent="0.3">
      <c r="A36" s="369" t="s">
        <v>334</v>
      </c>
      <c r="B36" s="370" t="s">
        <v>334</v>
      </c>
      <c r="C36" s="626">
        <v>0.60400999006484002</v>
      </c>
      <c r="D36" s="626">
        <v>0.59973136855306497</v>
      </c>
      <c r="E36" s="626">
        <v>0.59469206477732794</v>
      </c>
      <c r="F36" s="626">
        <v>0.58996523433413495</v>
      </c>
      <c r="G36" s="626">
        <v>0.58586629596600703</v>
      </c>
      <c r="H36" s="626">
        <v>0.58213702524986799</v>
      </c>
      <c r="I36" s="626">
        <v>0.57771956003666403</v>
      </c>
      <c r="J36" s="626">
        <v>0.573431850196221</v>
      </c>
      <c r="K36" s="626">
        <v>0.56947150365866195</v>
      </c>
      <c r="L36" s="626">
        <v>0.56599835302542101</v>
      </c>
      <c r="M36" s="626">
        <v>0.56287980049875297</v>
      </c>
      <c r="N36" s="626">
        <v>0.55955028354906799</v>
      </c>
      <c r="O36" s="626">
        <v>0.55654638761030395</v>
      </c>
      <c r="P36" s="626">
        <v>0.55398746472069005</v>
      </c>
      <c r="Q36" s="626">
        <v>0.55183163630820797</v>
      </c>
      <c r="R36" s="626">
        <v>0.54994247339077595</v>
      </c>
      <c r="S36" s="626">
        <v>0.54634340077682697</v>
      </c>
      <c r="T36" s="626">
        <v>0.54288148928073099</v>
      </c>
      <c r="U36" s="626">
        <v>0.53981531191405296</v>
      </c>
      <c r="V36" s="626">
        <v>0.537378382554075</v>
      </c>
      <c r="W36" s="626">
        <v>0.53569531658087599</v>
      </c>
      <c r="X36" s="626">
        <v>0.53448575465213999</v>
      </c>
      <c r="Y36" s="626">
        <v>0.533772413528252</v>
      </c>
      <c r="Z36" s="626">
        <v>0.53351561952376003</v>
      </c>
      <c r="AA36" s="626">
        <v>0.53341701207191305</v>
      </c>
      <c r="AB36" s="626">
        <v>0.53343245392872896</v>
      </c>
      <c r="AC36" s="626">
        <v>0.53288442217595</v>
      </c>
      <c r="AD36" s="626">
        <v>0.53234477604180197</v>
      </c>
      <c r="AE36" s="626">
        <v>0.53191926517488997</v>
      </c>
      <c r="AF36" s="626">
        <v>0.53178534661148502</v>
      </c>
      <c r="AG36" s="626">
        <v>0.53213738950633205</v>
      </c>
    </row>
    <row r="37" spans="1:33" x14ac:dyDescent="0.3">
      <c r="A37" s="369" t="s">
        <v>384</v>
      </c>
      <c r="B37" s="370" t="s">
        <v>384</v>
      </c>
      <c r="C37" s="626">
        <v>0.48425116109465999</v>
      </c>
      <c r="D37" s="626">
        <v>0.48131472533052305</v>
      </c>
      <c r="E37" s="626">
        <v>0.47802305377009008</v>
      </c>
      <c r="F37" s="626">
        <v>0.47447019024273102</v>
      </c>
      <c r="G37" s="626">
        <v>0.47079247276953107</v>
      </c>
      <c r="H37" s="626">
        <v>0.467089615919144</v>
      </c>
      <c r="I37" s="626">
        <v>0.46324520153110099</v>
      </c>
      <c r="J37" s="626">
        <v>0.45941352234295502</v>
      </c>
      <c r="K37" s="626">
        <v>0.455730556681891</v>
      </c>
      <c r="L37" s="626">
        <v>0.45236913626140596</v>
      </c>
      <c r="M37" s="626">
        <v>0.44942136394329602</v>
      </c>
      <c r="N37" s="626">
        <v>0.44665202640879498</v>
      </c>
      <c r="O37" s="626">
        <v>0.44439758870584101</v>
      </c>
      <c r="P37" s="626">
        <v>0.44283217769539507</v>
      </c>
      <c r="Q37" s="626">
        <v>0.44186470708257097</v>
      </c>
      <c r="R37" s="626">
        <v>0.44141754919842002</v>
      </c>
      <c r="S37" s="626">
        <v>0.44079598111690305</v>
      </c>
      <c r="T37" s="626">
        <v>0.44092208202019301</v>
      </c>
      <c r="U37" s="626">
        <v>0.441717295207188</v>
      </c>
      <c r="V37" s="626">
        <v>0.44301583469961403</v>
      </c>
      <c r="W37" s="626">
        <v>0.444671042821004</v>
      </c>
      <c r="X37" s="626">
        <v>0.44639927630333498</v>
      </c>
      <c r="Y37" s="626">
        <v>0.44804322320792006</v>
      </c>
      <c r="Z37" s="626">
        <v>0.449596465745287</v>
      </c>
      <c r="AA37" s="626">
        <v>0.45106252662486901</v>
      </c>
      <c r="AB37" s="626">
        <v>0.45245239063446197</v>
      </c>
      <c r="AC37" s="626">
        <v>0.45398318191958897</v>
      </c>
      <c r="AD37" s="626">
        <v>0.45547488730143798</v>
      </c>
      <c r="AE37" s="626">
        <v>0.45706361602178802</v>
      </c>
      <c r="AF37" s="626">
        <v>0.45896447054224704</v>
      </c>
      <c r="AG37" s="626">
        <v>0.46131746522404399</v>
      </c>
    </row>
    <row r="38" spans="1:33" x14ac:dyDescent="0.3">
      <c r="A38" s="369" t="s">
        <v>299</v>
      </c>
      <c r="B38" s="370" t="s">
        <v>299</v>
      </c>
      <c r="C38" s="626">
        <v>0.73875271577702395</v>
      </c>
      <c r="D38" s="626">
        <v>0.73456467528577096</v>
      </c>
      <c r="E38" s="626">
        <v>0.72752561757279299</v>
      </c>
      <c r="F38" s="626">
        <v>0.71939566715833902</v>
      </c>
      <c r="G38" s="626">
        <v>0.71275013688920197</v>
      </c>
      <c r="H38" s="626">
        <v>0.709077504576757</v>
      </c>
      <c r="I38" s="626">
        <v>0.70800779201534592</v>
      </c>
      <c r="J38" s="626">
        <v>0.709586250530854</v>
      </c>
      <c r="K38" s="626">
        <v>0.71302844034860002</v>
      </c>
      <c r="L38" s="626">
        <v>0.71702679556541105</v>
      </c>
      <c r="M38" s="626">
        <v>0.72075936326088696</v>
      </c>
      <c r="N38" s="626">
        <v>0.72450114133539401</v>
      </c>
      <c r="O38" s="626">
        <v>0.72835545401084301</v>
      </c>
      <c r="P38" s="626">
        <v>0.73205396005790002</v>
      </c>
      <c r="Q38" s="626">
        <v>0.73446125264480699</v>
      </c>
      <c r="R38" s="626">
        <v>0.73604334536081595</v>
      </c>
      <c r="S38" s="626">
        <v>0.73679842029931397</v>
      </c>
      <c r="T38" s="626">
        <v>0.73666200243768098</v>
      </c>
      <c r="U38" s="626">
        <v>0.73572633224592598</v>
      </c>
      <c r="V38" s="626">
        <v>0.73415179889263105</v>
      </c>
      <c r="W38" s="626">
        <v>0.73202234510123698</v>
      </c>
      <c r="X38" s="626">
        <v>0.72928623079563304</v>
      </c>
      <c r="Y38" s="626">
        <v>0.72586983274925998</v>
      </c>
      <c r="Z38" s="626">
        <v>0.72191888045362385</v>
      </c>
      <c r="AA38" s="626">
        <v>0.71768852054809895</v>
      </c>
      <c r="AB38" s="626">
        <v>0.71336749133773514</v>
      </c>
      <c r="AC38" s="626">
        <v>0.70898639134449715</v>
      </c>
      <c r="AD38" s="626">
        <v>0.70457561346144804</v>
      </c>
      <c r="AE38" s="626">
        <v>0.70012024150032004</v>
      </c>
      <c r="AF38" s="626">
        <v>0.69555883737354696</v>
      </c>
      <c r="AG38" s="626">
        <v>0.69084098005949701</v>
      </c>
    </row>
    <row r="39" spans="1:33" x14ac:dyDescent="0.3">
      <c r="A39" s="369" t="s">
        <v>300</v>
      </c>
      <c r="B39" s="370" t="s">
        <v>300</v>
      </c>
      <c r="C39" s="626">
        <v>0.55317110842821704</v>
      </c>
      <c r="D39" s="626">
        <v>0.54920473545519399</v>
      </c>
      <c r="E39" s="626">
        <v>0.54515732595454602</v>
      </c>
      <c r="F39" s="626">
        <v>0.54106791543393995</v>
      </c>
      <c r="G39" s="626">
        <v>0.53684519168210298</v>
      </c>
      <c r="H39" s="626">
        <v>0.532390764070932</v>
      </c>
      <c r="I39" s="626">
        <v>0.52432995689592399</v>
      </c>
      <c r="J39" s="626">
        <v>0.51676136027487796</v>
      </c>
      <c r="K39" s="626">
        <v>0.50991240030360696</v>
      </c>
      <c r="L39" s="626">
        <v>0.50400671621138204</v>
      </c>
      <c r="M39" s="626">
        <v>0.49914475065154401</v>
      </c>
      <c r="N39" s="626">
        <v>0.49346337161021298</v>
      </c>
      <c r="O39" s="626">
        <v>0.48690645753120199</v>
      </c>
      <c r="P39" s="626">
        <v>0.481512983516168</v>
      </c>
      <c r="Q39" s="626">
        <v>0.47753015848489999</v>
      </c>
      <c r="R39" s="626">
        <v>0.47508959298905401</v>
      </c>
      <c r="S39" s="626">
        <v>0.47243825602224893</v>
      </c>
      <c r="T39" s="626">
        <v>0.47115704123949997</v>
      </c>
      <c r="U39" s="626">
        <v>0.47104636944999201</v>
      </c>
      <c r="V39" s="626">
        <v>0.47168133308427301</v>
      </c>
      <c r="W39" s="626">
        <v>0.47272777036906199</v>
      </c>
      <c r="X39" s="626">
        <v>0.47283591166498901</v>
      </c>
      <c r="Y39" s="626">
        <v>0.47277687348055897</v>
      </c>
      <c r="Z39" s="626">
        <v>0.47266569800889302</v>
      </c>
      <c r="AA39" s="626">
        <v>0.47271853833461608</v>
      </c>
      <c r="AB39" s="626">
        <v>0.47307682475397</v>
      </c>
      <c r="AC39" s="626">
        <v>0.47348262148026399</v>
      </c>
      <c r="AD39" s="626">
        <v>0.47378317685709992</v>
      </c>
      <c r="AE39" s="626">
        <v>0.47383762032455801</v>
      </c>
      <c r="AF39" s="626">
        <v>0.47339283474332705</v>
      </c>
      <c r="AG39" s="626">
        <v>0.47233294132995701</v>
      </c>
    </row>
    <row r="40" spans="1:33" x14ac:dyDescent="0.3">
      <c r="A40" s="369" t="s">
        <v>301</v>
      </c>
      <c r="B40" s="370" t="s">
        <v>301</v>
      </c>
      <c r="C40" s="626">
        <v>0.52315510818189803</v>
      </c>
      <c r="D40" s="626">
        <v>0.51387167141027501</v>
      </c>
      <c r="E40" s="626">
        <v>0.50313553875106498</v>
      </c>
      <c r="F40" s="626">
        <v>0.49182911152743697</v>
      </c>
      <c r="G40" s="626">
        <v>0.48103895352553899</v>
      </c>
      <c r="H40" s="626">
        <v>0.47134349370698703</v>
      </c>
      <c r="I40" s="626">
        <v>0.46477586188116099</v>
      </c>
      <c r="J40" s="626">
        <v>0.45927149216259999</v>
      </c>
      <c r="K40" s="626">
        <v>0.45504884832199094</v>
      </c>
      <c r="L40" s="626">
        <v>0.45204688191244202</v>
      </c>
      <c r="M40" s="626">
        <v>0.45009087367043998</v>
      </c>
      <c r="N40" s="626">
        <v>0.447123952065417</v>
      </c>
      <c r="O40" s="626">
        <v>0.44559632539762506</v>
      </c>
      <c r="P40" s="626">
        <v>0.445817747723189</v>
      </c>
      <c r="Q40" s="626">
        <v>0.448008573376796</v>
      </c>
      <c r="R40" s="626">
        <v>0.45216536923383699</v>
      </c>
      <c r="S40" s="626">
        <v>0.45717935704651602</v>
      </c>
      <c r="T40" s="626">
        <v>0.46346503643033299</v>
      </c>
      <c r="U40" s="626">
        <v>0.47050476784398199</v>
      </c>
      <c r="V40" s="626">
        <v>0.47750395829277503</v>
      </c>
      <c r="W40" s="626">
        <v>0.48396619486123499</v>
      </c>
      <c r="X40" s="626">
        <v>0.48913201608948498</v>
      </c>
      <c r="Y40" s="626">
        <v>0.49339076109699798</v>
      </c>
      <c r="Z40" s="626">
        <v>0.49690422654118005</v>
      </c>
      <c r="AA40" s="626">
        <v>0.49997033628170401</v>
      </c>
      <c r="AB40" s="626">
        <v>0.50277565725588902</v>
      </c>
      <c r="AC40" s="626">
        <v>0.50445383173764902</v>
      </c>
      <c r="AD40" s="626">
        <v>0.50553533003693596</v>
      </c>
      <c r="AE40" s="626">
        <v>0.50591894535063298</v>
      </c>
      <c r="AF40" s="626">
        <v>0.50543714679125795</v>
      </c>
      <c r="AG40" s="626">
        <v>0.50411226651159502</v>
      </c>
    </row>
    <row r="41" spans="1:33" x14ac:dyDescent="0.3">
      <c r="A41" s="369" t="s">
        <v>723</v>
      </c>
      <c r="B41" s="370" t="s">
        <v>723</v>
      </c>
      <c r="C41" s="626">
        <v>0.55970433571425204</v>
      </c>
      <c r="D41" s="626">
        <v>0.55556980216554797</v>
      </c>
      <c r="E41" s="626">
        <v>0.55185735679897097</v>
      </c>
      <c r="F41" s="626">
        <v>0.548346135348449</v>
      </c>
      <c r="G41" s="626">
        <v>0.54477638094295899</v>
      </c>
      <c r="H41" s="626">
        <v>0.54102753874705101</v>
      </c>
      <c r="I41" s="626">
        <v>0.53719681983544798</v>
      </c>
      <c r="J41" s="626">
        <v>0.53358676955464002</v>
      </c>
      <c r="K41" s="626">
        <v>0.53014115405107998</v>
      </c>
      <c r="L41" s="626">
        <v>0.52677990589746004</v>
      </c>
      <c r="M41" s="626">
        <v>0.523471282884308</v>
      </c>
      <c r="N41" s="626">
        <v>0.51971354362737399</v>
      </c>
      <c r="O41" s="626">
        <v>0.51596953681873803</v>
      </c>
      <c r="P41" s="626">
        <v>0.51245547334748098</v>
      </c>
      <c r="Q41" s="626">
        <v>0.50949330874760002</v>
      </c>
      <c r="R41" s="626">
        <v>0.50728083017771397</v>
      </c>
      <c r="S41" s="626">
        <v>0.50545777668730496</v>
      </c>
      <c r="T41" s="626">
        <v>0.50429634451919902</v>
      </c>
      <c r="U41" s="626">
        <v>0.50385374155317098</v>
      </c>
      <c r="V41" s="626">
        <v>0.50420018710264702</v>
      </c>
      <c r="W41" s="626">
        <v>0.50534053397059198</v>
      </c>
      <c r="X41" s="626">
        <v>0.50701467974424197</v>
      </c>
      <c r="Y41" s="626">
        <v>0.50954755233023996</v>
      </c>
      <c r="Z41" s="626">
        <v>0.51250506900584902</v>
      </c>
      <c r="AA41" s="626">
        <v>0.51520663506648701</v>
      </c>
      <c r="AB41" s="626">
        <v>0.51719965097316201</v>
      </c>
      <c r="AC41" s="626">
        <v>0.51826395413239801</v>
      </c>
      <c r="AD41" s="626">
        <v>0.51854899220113204</v>
      </c>
      <c r="AE41" s="626">
        <v>0.51824420956190098</v>
      </c>
      <c r="AF41" s="626">
        <v>0.51774988408521005</v>
      </c>
      <c r="AG41" s="626">
        <v>0.51734493298423301</v>
      </c>
    </row>
    <row r="42" spans="1:33" x14ac:dyDescent="0.3">
      <c r="A42" s="369" t="s">
        <v>175</v>
      </c>
      <c r="B42" s="370" t="s">
        <v>175</v>
      </c>
      <c r="C42" s="626">
        <v>0.52366279452418996</v>
      </c>
      <c r="D42" s="626">
        <v>0.52296971075299603</v>
      </c>
      <c r="E42" s="626">
        <v>0.522220817804251</v>
      </c>
      <c r="F42" s="626">
        <v>0.521354312173126</v>
      </c>
      <c r="G42" s="626">
        <v>0.52029177884725597</v>
      </c>
      <c r="H42" s="626">
        <v>0.51900896942737995</v>
      </c>
      <c r="I42" s="626">
        <v>0.520240566857053</v>
      </c>
      <c r="J42" s="626">
        <v>0.52131588089390202</v>
      </c>
      <c r="K42" s="626">
        <v>0.522333690887128</v>
      </c>
      <c r="L42" s="626">
        <v>0.52344578235714301</v>
      </c>
      <c r="M42" s="626">
        <v>0.52474484307631697</v>
      </c>
      <c r="N42" s="626">
        <v>0.52625589786294502</v>
      </c>
      <c r="O42" s="626">
        <v>0.52795898758398396</v>
      </c>
      <c r="P42" s="626">
        <v>0.52980726610206497</v>
      </c>
      <c r="Q42" s="626">
        <v>0.53172504206884097</v>
      </c>
      <c r="R42" s="626">
        <v>0.53367469461860395</v>
      </c>
      <c r="S42" s="626">
        <v>0.53530054441258301</v>
      </c>
      <c r="T42" s="626">
        <v>0.53705940334588098</v>
      </c>
      <c r="U42" s="626">
        <v>0.53903548279614899</v>
      </c>
      <c r="V42" s="626">
        <v>0.54129923596762497</v>
      </c>
      <c r="W42" s="626">
        <v>0.54385209812382995</v>
      </c>
      <c r="X42" s="626">
        <v>0.54659730614664004</v>
      </c>
      <c r="Y42" s="626">
        <v>0.54937411043261897</v>
      </c>
      <c r="Z42" s="626">
        <v>0.55210277729093404</v>
      </c>
      <c r="AA42" s="626">
        <v>0.55465205486364999</v>
      </c>
      <c r="AB42" s="626">
        <v>0.55693168166420703</v>
      </c>
      <c r="AC42" s="626">
        <v>0.55911664487235202</v>
      </c>
      <c r="AD42" s="626">
        <v>0.56111819413511699</v>
      </c>
      <c r="AE42" s="626">
        <v>0.56289548554155699</v>
      </c>
      <c r="AF42" s="626">
        <v>0.56439548803712702</v>
      </c>
      <c r="AG42" s="626">
        <v>0.56558772741572505</v>
      </c>
    </row>
    <row r="43" spans="1:33" x14ac:dyDescent="0.3">
      <c r="A43" s="369" t="s">
        <v>61</v>
      </c>
      <c r="B43" s="370" t="s">
        <v>61</v>
      </c>
      <c r="C43" s="626">
        <v>0.63736331424850501</v>
      </c>
      <c r="D43" s="626">
        <v>0.63553836368114003</v>
      </c>
      <c r="E43" s="626">
        <v>0.63384807656430697</v>
      </c>
      <c r="F43" s="626">
        <v>0.63236337230769202</v>
      </c>
      <c r="G43" s="626">
        <v>0.63120248852719396</v>
      </c>
      <c r="H43" s="626">
        <v>0.63036297193799196</v>
      </c>
      <c r="I43" s="626">
        <v>0.62985179585250695</v>
      </c>
      <c r="J43" s="626">
        <v>0.62963404347432805</v>
      </c>
      <c r="K43" s="626">
        <v>0.62963770222669502</v>
      </c>
      <c r="L43" s="626">
        <v>0.62975299737867196</v>
      </c>
      <c r="M43" s="626">
        <v>0.629920966770255</v>
      </c>
      <c r="N43" s="626">
        <v>0.63015054808939197</v>
      </c>
      <c r="O43" s="626">
        <v>0.63043118433809398</v>
      </c>
      <c r="P43" s="626">
        <v>0.63048613607969295</v>
      </c>
      <c r="Q43" s="626">
        <v>0.63038782007741201</v>
      </c>
      <c r="R43" s="626">
        <v>0.63011461737429797</v>
      </c>
      <c r="S43" s="626">
        <v>0.62965248019131304</v>
      </c>
      <c r="T43" s="626">
        <v>0.62901260566907002</v>
      </c>
      <c r="U43" s="626">
        <v>0.62816636482695898</v>
      </c>
      <c r="V43" s="626">
        <v>0.62708260394760096</v>
      </c>
      <c r="W43" s="626">
        <v>0.62573980042075505</v>
      </c>
      <c r="X43" s="626">
        <v>0.62414735833113799</v>
      </c>
      <c r="Y43" s="626">
        <v>0.62231087115617501</v>
      </c>
      <c r="Z43" s="626">
        <v>0.62026399038461499</v>
      </c>
      <c r="AA43" s="626">
        <v>0.61799991413949196</v>
      </c>
      <c r="AB43" s="626">
        <v>0.61551497011676604</v>
      </c>
      <c r="AC43" s="626">
        <v>0.61281635969620396</v>
      </c>
      <c r="AD43" s="626">
        <v>0.60992327518906098</v>
      </c>
      <c r="AE43" s="626">
        <v>0.60690521756888505</v>
      </c>
      <c r="AF43" s="626">
        <v>0.603859538961797</v>
      </c>
      <c r="AG43" s="626">
        <v>0.600838590144953</v>
      </c>
    </row>
    <row r="44" spans="1:33" x14ac:dyDescent="0.3">
      <c r="A44" s="369" t="s">
        <v>62</v>
      </c>
      <c r="B44" s="370" t="s">
        <v>62</v>
      </c>
      <c r="C44" s="626">
        <v>0.56924199043042401</v>
      </c>
      <c r="D44" s="626">
        <v>0.570761840673494</v>
      </c>
      <c r="E44" s="626">
        <v>0.57236838597355999</v>
      </c>
      <c r="F44" s="626">
        <v>0.57404451987223604</v>
      </c>
      <c r="G44" s="626">
        <v>0.57574188049211195</v>
      </c>
      <c r="H44" s="626">
        <v>0.57739380682514096</v>
      </c>
      <c r="I44" s="626">
        <v>0.578961720439366</v>
      </c>
      <c r="J44" s="626">
        <v>0.58054161948894201</v>
      </c>
      <c r="K44" s="626">
        <v>0.582092961898941</v>
      </c>
      <c r="L44" s="626">
        <v>0.58353272588560301</v>
      </c>
      <c r="M44" s="626">
        <v>0.58477613375361404</v>
      </c>
      <c r="N44" s="626">
        <v>0.58502128200317705</v>
      </c>
      <c r="O44" s="626">
        <v>0.584652427021778</v>
      </c>
      <c r="P44" s="626">
        <v>0.58368379792163105</v>
      </c>
      <c r="Q44" s="626">
        <v>0.58221741564622798</v>
      </c>
      <c r="R44" s="626">
        <v>0.580351285263359</v>
      </c>
      <c r="S44" s="626">
        <v>0.57847583144460102</v>
      </c>
      <c r="T44" s="626">
        <v>0.57635027471790701</v>
      </c>
      <c r="U44" s="626">
        <v>0.57398147934780197</v>
      </c>
      <c r="V44" s="626">
        <v>0.57136863607473498</v>
      </c>
      <c r="W44" s="626">
        <v>0.56854133513514304</v>
      </c>
      <c r="X44" s="626">
        <v>0.56564524731233201</v>
      </c>
      <c r="Y44" s="626">
        <v>0.562619689057831</v>
      </c>
      <c r="Z44" s="626">
        <v>0.55956120159312495</v>
      </c>
      <c r="AA44" s="626">
        <v>0.55659324541629396</v>
      </c>
      <c r="AB44" s="626">
        <v>0.55379604922237202</v>
      </c>
      <c r="AC44" s="626">
        <v>0.55118806322803704</v>
      </c>
      <c r="AD44" s="626">
        <v>0.54871003336362201</v>
      </c>
      <c r="AE44" s="626">
        <v>0.54641476239362397</v>
      </c>
      <c r="AF44" s="626">
        <v>0.54437960629450299</v>
      </c>
      <c r="AG44" s="626">
        <v>0.54263957902346005</v>
      </c>
    </row>
    <row r="45" spans="1:33" x14ac:dyDescent="0.3">
      <c r="A45" s="369" t="s">
        <v>380</v>
      </c>
      <c r="B45" s="370" t="s">
        <v>380</v>
      </c>
      <c r="C45" s="626">
        <v>0.51006284162126003</v>
      </c>
      <c r="D45" s="626">
        <v>0.50611267524436199</v>
      </c>
      <c r="E45" s="626">
        <v>0.50216659635476102</v>
      </c>
      <c r="F45" s="626">
        <v>0.49831542871840606</v>
      </c>
      <c r="G45" s="626">
        <v>0.494670096074453</v>
      </c>
      <c r="H45" s="626">
        <v>0.49129587884836101</v>
      </c>
      <c r="I45" s="626">
        <v>0.488046074167927</v>
      </c>
      <c r="J45" s="626">
        <v>0.48505654737536502</v>
      </c>
      <c r="K45" s="626">
        <v>0.48230627121194503</v>
      </c>
      <c r="L45" s="626">
        <v>0.47976449660242193</v>
      </c>
      <c r="M45" s="626">
        <v>0.47741668819033994</v>
      </c>
      <c r="N45" s="626">
        <v>0.47518208468668</v>
      </c>
      <c r="O45" s="626">
        <v>0.47312876145461003</v>
      </c>
      <c r="P45" s="626">
        <v>0.471301488487819</v>
      </c>
      <c r="Q45" s="626">
        <v>0.46976432073740398</v>
      </c>
      <c r="R45" s="626">
        <v>0.46864021545012702</v>
      </c>
      <c r="S45" s="626">
        <v>0.46803764106510698</v>
      </c>
      <c r="T45" s="626">
        <v>0.46802460438702098</v>
      </c>
      <c r="U45" s="626">
        <v>0.46849506980452899</v>
      </c>
      <c r="V45" s="626">
        <v>0.46928889661035894</v>
      </c>
      <c r="W45" s="626">
        <v>0.47028992859835694</v>
      </c>
      <c r="X45" s="626">
        <v>0.47142497486393298</v>
      </c>
      <c r="Y45" s="626">
        <v>0.47275069998089203</v>
      </c>
      <c r="Z45" s="626">
        <v>0.47419746279840003</v>
      </c>
      <c r="AA45" s="626">
        <v>0.47568297677079002</v>
      </c>
      <c r="AB45" s="626">
        <v>0.47715698391098399</v>
      </c>
      <c r="AC45" s="626">
        <v>0.47855451642122199</v>
      </c>
      <c r="AD45" s="626">
        <v>0.47990888507222401</v>
      </c>
      <c r="AE45" s="626">
        <v>0.48126743397762295</v>
      </c>
      <c r="AF45" s="626">
        <v>0.48271770192046692</v>
      </c>
      <c r="AG45" s="626">
        <v>0.48432097004830299</v>
      </c>
    </row>
    <row r="46" spans="1:33" x14ac:dyDescent="0.3">
      <c r="A46" s="369" t="s">
        <v>63</v>
      </c>
      <c r="B46" s="370" t="s">
        <v>63</v>
      </c>
      <c r="C46" s="626">
        <v>0.61564466804406903</v>
      </c>
      <c r="D46" s="626">
        <v>0.61365771645837996</v>
      </c>
      <c r="E46" s="626">
        <v>0.61148220149913202</v>
      </c>
      <c r="F46" s="626">
        <v>0.60911865892533901</v>
      </c>
      <c r="G46" s="626">
        <v>0.60659127871415497</v>
      </c>
      <c r="H46" s="626">
        <v>0.60392309355847995</v>
      </c>
      <c r="I46" s="626">
        <v>0.60175827142557903</v>
      </c>
      <c r="J46" s="626">
        <v>0.59950991675769105</v>
      </c>
      <c r="K46" s="626">
        <v>0.59717492015129903</v>
      </c>
      <c r="L46" s="626">
        <v>0.59476293604451203</v>
      </c>
      <c r="M46" s="626">
        <v>0.59229608479503904</v>
      </c>
      <c r="N46" s="626">
        <v>0.59016164731202903</v>
      </c>
      <c r="O46" s="626">
        <v>0.58803062352195401</v>
      </c>
      <c r="P46" s="626">
        <v>0.58594815746821904</v>
      </c>
      <c r="Q46" s="626">
        <v>0.58397961934883003</v>
      </c>
      <c r="R46" s="626">
        <v>0.58204039240706895</v>
      </c>
      <c r="S46" s="626">
        <v>0.58030908502412204</v>
      </c>
      <c r="T46" s="626">
        <v>0.57857214876198204</v>
      </c>
      <c r="U46" s="626">
        <v>0.57685021239214995</v>
      </c>
      <c r="V46" s="626">
        <v>0.57518125455930202</v>
      </c>
      <c r="W46" s="626">
        <v>0.57357942935018502</v>
      </c>
      <c r="X46" s="626">
        <v>0.57207058675332201</v>
      </c>
      <c r="Y46" s="626">
        <v>0.57061991939865697</v>
      </c>
      <c r="Z46" s="626">
        <v>0.56913230234319001</v>
      </c>
      <c r="AA46" s="626">
        <v>0.56747874944287902</v>
      </c>
      <c r="AB46" s="626">
        <v>0.56559073048610697</v>
      </c>
      <c r="AC46" s="626">
        <v>0.56349967960054004</v>
      </c>
      <c r="AD46" s="626">
        <v>0.56120875400204195</v>
      </c>
      <c r="AE46" s="626">
        <v>0.558744892075144</v>
      </c>
      <c r="AF46" s="626">
        <v>0.55614894622323496</v>
      </c>
      <c r="AG46" s="626">
        <v>0.55345304840925202</v>
      </c>
    </row>
    <row r="47" spans="1:33" x14ac:dyDescent="0.3">
      <c r="A47" s="369" t="s">
        <v>347</v>
      </c>
      <c r="B47" s="370" t="s">
        <v>347</v>
      </c>
      <c r="C47" s="626">
        <v>0.64518539189816704</v>
      </c>
      <c r="D47" s="626">
        <v>0.64257417795339189</v>
      </c>
      <c r="E47" s="626">
        <v>0.63422984021736195</v>
      </c>
      <c r="F47" s="626">
        <v>0.62611181845864095</v>
      </c>
      <c r="G47" s="626">
        <v>0.61844177162866898</v>
      </c>
      <c r="H47" s="626">
        <v>0.61133827069031399</v>
      </c>
      <c r="I47" s="626">
        <v>0.60485528302175995</v>
      </c>
      <c r="J47" s="626">
        <v>0.59896167629053798</v>
      </c>
      <c r="K47" s="626">
        <v>0.59326596899980399</v>
      </c>
      <c r="L47" s="626">
        <v>0.58724180273273896</v>
      </c>
      <c r="M47" s="626">
        <v>0.58062146806322301</v>
      </c>
      <c r="N47" s="626">
        <v>0.57335704935965204</v>
      </c>
      <c r="O47" s="626">
        <v>0.56478369535166195</v>
      </c>
      <c r="P47" s="626">
        <v>0.55613218611686799</v>
      </c>
      <c r="Q47" s="626">
        <v>0.54800509456837498</v>
      </c>
      <c r="R47" s="626">
        <v>0.54081117711445703</v>
      </c>
      <c r="S47" s="626">
        <v>0.53558668364548701</v>
      </c>
      <c r="T47" s="626">
        <v>0.53137394638423197</v>
      </c>
      <c r="U47" s="626">
        <v>0.52784215440327098</v>
      </c>
      <c r="V47" s="626">
        <v>0.52444367528407398</v>
      </c>
      <c r="W47" s="626">
        <v>0.52081997816165904</v>
      </c>
      <c r="X47" s="626">
        <v>0.51699032302796299</v>
      </c>
      <c r="Y47" s="626">
        <v>0.51314057313656003</v>
      </c>
      <c r="Z47" s="626">
        <v>0.50931486728283604</v>
      </c>
      <c r="AA47" s="626">
        <v>0.50562014610178396</v>
      </c>
      <c r="AB47" s="626">
        <v>0.50212014291099505</v>
      </c>
      <c r="AC47" s="626">
        <v>0.49883680939335806</v>
      </c>
      <c r="AD47" s="626">
        <v>0.49568780862259598</v>
      </c>
      <c r="AE47" s="626">
        <v>0.492780862666092</v>
      </c>
      <c r="AF47" s="626">
        <v>0.490293270816965</v>
      </c>
      <c r="AG47" s="626">
        <v>0.48836364215919098</v>
      </c>
    </row>
    <row r="48" spans="1:33" x14ac:dyDescent="0.3">
      <c r="A48" s="369" t="s">
        <v>369</v>
      </c>
      <c r="B48" s="370" t="s">
        <v>369</v>
      </c>
      <c r="C48" s="626">
        <v>0.65812794124282004</v>
      </c>
      <c r="D48" s="626">
        <v>0.65568766050744198</v>
      </c>
      <c r="E48" s="626">
        <v>0.65230580253162596</v>
      </c>
      <c r="F48" s="626">
        <v>0.64848586251315299</v>
      </c>
      <c r="G48" s="626">
        <v>0.64498975319723006</v>
      </c>
      <c r="H48" s="626">
        <v>0.64228788224038302</v>
      </c>
      <c r="I48" s="626">
        <v>0.63969869458295203</v>
      </c>
      <c r="J48" s="626">
        <v>0.63789130371013902</v>
      </c>
      <c r="K48" s="626">
        <v>0.63650708810506396</v>
      </c>
      <c r="L48" s="626">
        <v>0.63487606987993095</v>
      </c>
      <c r="M48" s="626">
        <v>0.632583835613029</v>
      </c>
      <c r="N48" s="626">
        <v>0.62999806608724496</v>
      </c>
      <c r="O48" s="626">
        <v>0.62684942535542998</v>
      </c>
      <c r="P48" s="626">
        <v>0.623108196506312</v>
      </c>
      <c r="Q48" s="626">
        <v>0.61945493519416905</v>
      </c>
      <c r="R48" s="626">
        <v>0.61615345487661999</v>
      </c>
      <c r="S48" s="626">
        <v>0.61341763008335504</v>
      </c>
      <c r="T48" s="626">
        <v>0.61093784065215695</v>
      </c>
      <c r="U48" s="626">
        <v>0.60865951008931296</v>
      </c>
      <c r="V48" s="626">
        <v>0.60647236833875195</v>
      </c>
      <c r="W48" s="626">
        <v>0.60429954607231295</v>
      </c>
      <c r="X48" s="626">
        <v>0.60224997954236204</v>
      </c>
      <c r="Y48" s="626">
        <v>0.60031297573952702</v>
      </c>
      <c r="Z48" s="626">
        <v>0.59842011315525301</v>
      </c>
      <c r="AA48" s="626">
        <v>0.59648075998677297</v>
      </c>
      <c r="AB48" s="626">
        <v>0.59444308725318995</v>
      </c>
      <c r="AC48" s="626">
        <v>0.59233648039890596</v>
      </c>
      <c r="AD48" s="626">
        <v>0.59016921504258701</v>
      </c>
      <c r="AE48" s="626">
        <v>0.58803884312357502</v>
      </c>
      <c r="AF48" s="626">
        <v>0.58609267664924403</v>
      </c>
      <c r="AG48" s="626">
        <v>0.58441101262696105</v>
      </c>
    </row>
    <row r="49" spans="1:33" x14ac:dyDescent="0.3">
      <c r="A49" s="369" t="s">
        <v>370</v>
      </c>
      <c r="B49" s="370" t="s">
        <v>370</v>
      </c>
      <c r="C49" s="626">
        <v>0.50486611983913399</v>
      </c>
      <c r="D49" s="626">
        <v>0.50271839786146499</v>
      </c>
      <c r="E49" s="626">
        <v>0.50129241080758302</v>
      </c>
      <c r="F49" s="626">
        <v>0.49995194483092398</v>
      </c>
      <c r="G49" s="626">
        <v>0.49853065757843207</v>
      </c>
      <c r="H49" s="626">
        <v>0.49703248291571794</v>
      </c>
      <c r="I49" s="626">
        <v>0.49559667560321702</v>
      </c>
      <c r="J49" s="626">
        <v>0.49422595081539794</v>
      </c>
      <c r="K49" s="626">
        <v>0.49261483570446502</v>
      </c>
      <c r="L49" s="626">
        <v>0.491022787055228</v>
      </c>
      <c r="M49" s="626">
        <v>0.48973460776969202</v>
      </c>
      <c r="N49" s="626">
        <v>0.48894381826355998</v>
      </c>
      <c r="O49" s="626">
        <v>0.49152938988683997</v>
      </c>
      <c r="P49" s="626">
        <v>0.49441635964215808</v>
      </c>
      <c r="Q49" s="626">
        <v>0.49702814296359399</v>
      </c>
      <c r="R49" s="626">
        <v>0.499378365294605</v>
      </c>
      <c r="S49" s="626">
        <v>0.49974804155816299</v>
      </c>
      <c r="T49" s="626">
        <v>0.50038954054854301</v>
      </c>
      <c r="U49" s="626">
        <v>0.50101093830022403</v>
      </c>
      <c r="V49" s="626">
        <v>0.50167645724776599</v>
      </c>
      <c r="W49" s="626">
        <v>0.50261174941794395</v>
      </c>
      <c r="X49" s="626">
        <v>0.50405654966797697</v>
      </c>
      <c r="Y49" s="626">
        <v>0.50603924776476406</v>
      </c>
      <c r="Z49" s="626">
        <v>0.50821188750204405</v>
      </c>
      <c r="AA49" s="626">
        <v>0.51031659161003295</v>
      </c>
      <c r="AB49" s="626">
        <v>0.51248107127264797</v>
      </c>
      <c r="AC49" s="626">
        <v>0.514895214346061</v>
      </c>
      <c r="AD49" s="626">
        <v>0.51765876103790198</v>
      </c>
      <c r="AE49" s="626">
        <v>0.52046890860884198</v>
      </c>
      <c r="AF49" s="626">
        <v>0.52337987326412305</v>
      </c>
      <c r="AG49" s="626">
        <v>0.52663654110234503</v>
      </c>
    </row>
    <row r="50" spans="1:33" x14ac:dyDescent="0.3">
      <c r="A50" s="369" t="s">
        <v>314</v>
      </c>
      <c r="B50" s="370" t="s">
        <v>314</v>
      </c>
      <c r="C50" s="626">
        <v>0.54987776993358894</v>
      </c>
      <c r="D50" s="626">
        <v>0.54661531895867699</v>
      </c>
      <c r="E50" s="626">
        <v>0.54339170581693097</v>
      </c>
      <c r="F50" s="626">
        <v>0.54026937247121098</v>
      </c>
      <c r="G50" s="626">
        <v>0.53710503359038797</v>
      </c>
      <c r="H50" s="626">
        <v>0.53387900632671703</v>
      </c>
      <c r="I50" s="626">
        <v>0.53029857789884904</v>
      </c>
      <c r="J50" s="626">
        <v>0.52658583987721297</v>
      </c>
      <c r="K50" s="626">
        <v>0.52306210981683299</v>
      </c>
      <c r="L50" s="626">
        <v>0.520096652736738</v>
      </c>
      <c r="M50" s="626">
        <v>0.51802771964679195</v>
      </c>
      <c r="N50" s="626">
        <v>0.51420208579299498</v>
      </c>
      <c r="O50" s="626">
        <v>0.51076492724354305</v>
      </c>
      <c r="P50" s="626">
        <v>0.50826682278983004</v>
      </c>
      <c r="Q50" s="626">
        <v>0.50662835562353703</v>
      </c>
      <c r="R50" s="626">
        <v>0.50580639504193603</v>
      </c>
      <c r="S50" s="626">
        <v>0.50817597548198801</v>
      </c>
      <c r="T50" s="626">
        <v>0.50988254874269301</v>
      </c>
      <c r="U50" s="626">
        <v>0.51091055137655805</v>
      </c>
      <c r="V50" s="626">
        <v>0.51127288992992703</v>
      </c>
      <c r="W50" s="626">
        <v>0.51109386905935705</v>
      </c>
      <c r="X50" s="626">
        <v>0.51284648474792804</v>
      </c>
      <c r="Y50" s="626">
        <v>0.51406698585418897</v>
      </c>
      <c r="Z50" s="626">
        <v>0.51472210249532602</v>
      </c>
      <c r="AA50" s="626">
        <v>0.51477649041485896</v>
      </c>
      <c r="AB50" s="626">
        <v>0.51431609315639903</v>
      </c>
      <c r="AC50" s="626">
        <v>0.51442743971185401</v>
      </c>
      <c r="AD50" s="626">
        <v>0.51426604332086601</v>
      </c>
      <c r="AE50" s="626">
        <v>0.51395146482546505</v>
      </c>
      <c r="AF50" s="626">
        <v>0.513618610441821</v>
      </c>
      <c r="AG50" s="626">
        <v>0.51342065230943401</v>
      </c>
    </row>
    <row r="51" spans="1:33" x14ac:dyDescent="0.3">
      <c r="A51" s="369" t="s">
        <v>724</v>
      </c>
      <c r="B51" s="370" t="s">
        <v>724</v>
      </c>
      <c r="C51" s="626">
        <v>0.56760736517809296</v>
      </c>
      <c r="D51" s="626">
        <v>0.56193509190621704</v>
      </c>
      <c r="E51" s="626">
        <v>0.55621132895251801</v>
      </c>
      <c r="F51" s="626">
        <v>0.55057532184602598</v>
      </c>
      <c r="G51" s="626">
        <v>0.54516415086918302</v>
      </c>
      <c r="H51" s="626">
        <v>0.54001628815995995</v>
      </c>
      <c r="I51" s="626">
        <v>0.53415815655736198</v>
      </c>
      <c r="J51" s="626">
        <v>0.52843806907210999</v>
      </c>
      <c r="K51" s="626">
        <v>0.52306665336172298</v>
      </c>
      <c r="L51" s="626">
        <v>0.51830612309723201</v>
      </c>
      <c r="M51" s="626">
        <v>0.514264273588664</v>
      </c>
      <c r="N51" s="626">
        <v>0.510994345422212</v>
      </c>
      <c r="O51" s="626">
        <v>0.51171574600944403</v>
      </c>
      <c r="P51" s="626">
        <v>0.51258406091758502</v>
      </c>
      <c r="Q51" s="626">
        <v>0.51321811822139496</v>
      </c>
      <c r="R51" s="626">
        <v>0.51330949353926503</v>
      </c>
      <c r="S51" s="626">
        <v>0.512340401806475</v>
      </c>
      <c r="T51" s="626">
        <v>0.510808334271318</v>
      </c>
      <c r="U51" s="626">
        <v>0.50851250627908795</v>
      </c>
      <c r="V51" s="626">
        <v>0.50535487017241498</v>
      </c>
      <c r="W51" s="626">
        <v>0.50153327466094499</v>
      </c>
      <c r="X51" s="626">
        <v>0.49668588398206592</v>
      </c>
      <c r="Y51" s="626">
        <v>0.49115499772684701</v>
      </c>
      <c r="Z51" s="626">
        <v>0.485265210695357</v>
      </c>
      <c r="AA51" s="626">
        <v>0.47949380225117499</v>
      </c>
      <c r="AB51" s="626">
        <v>0.47416675865018298</v>
      </c>
      <c r="AC51" s="626">
        <v>0.46887056938647698</v>
      </c>
      <c r="AD51" s="626">
        <v>0.46402170136596299</v>
      </c>
      <c r="AE51" s="626">
        <v>0.45976664603338607</v>
      </c>
      <c r="AF51" s="626">
        <v>0.45624662092467999</v>
      </c>
      <c r="AG51" s="626">
        <v>0.45357996110111304</v>
      </c>
    </row>
    <row r="52" spans="1:33" x14ac:dyDescent="0.3">
      <c r="A52" s="369" t="s">
        <v>335</v>
      </c>
      <c r="B52" s="370" t="s">
        <v>335</v>
      </c>
      <c r="C52" s="626">
        <v>0.64361588404299397</v>
      </c>
      <c r="D52" s="626">
        <v>0.64125698873898107</v>
      </c>
      <c r="E52" s="626">
        <v>0.638287991500885</v>
      </c>
      <c r="F52" s="626">
        <v>0.63476585926795104</v>
      </c>
      <c r="G52" s="626">
        <v>0.63069459925243798</v>
      </c>
      <c r="H52" s="626">
        <v>0.62605607853221501</v>
      </c>
      <c r="I52" s="626">
        <v>0.61981858924851996</v>
      </c>
      <c r="J52" s="626">
        <v>0.61321184339301704</v>
      </c>
      <c r="K52" s="626">
        <v>0.60665192805906298</v>
      </c>
      <c r="L52" s="626">
        <v>0.60051391932157705</v>
      </c>
      <c r="M52" s="626">
        <v>0.59494377794446496</v>
      </c>
      <c r="N52" s="626">
        <v>0.58856996920998805</v>
      </c>
      <c r="O52" s="626">
        <v>0.58195709752005798</v>
      </c>
      <c r="P52" s="626">
        <v>0.57600640743587805</v>
      </c>
      <c r="Q52" s="626">
        <v>0.57078732831500101</v>
      </c>
      <c r="R52" s="626">
        <v>0.56624139377206695</v>
      </c>
      <c r="S52" s="626">
        <v>0.56234815574500197</v>
      </c>
      <c r="T52" s="626">
        <v>0.55902636916932302</v>
      </c>
      <c r="U52" s="626">
        <v>0.55621208325059202</v>
      </c>
      <c r="V52" s="626">
        <v>0.55377470785917104</v>
      </c>
      <c r="W52" s="626">
        <v>0.55163713475447995</v>
      </c>
      <c r="X52" s="626">
        <v>0.54933902505411603</v>
      </c>
      <c r="Y52" s="626">
        <v>0.547267247965321</v>
      </c>
      <c r="Z52" s="626">
        <v>0.54559014415380702</v>
      </c>
      <c r="AA52" s="626">
        <v>0.54452801227659597</v>
      </c>
      <c r="AB52" s="626">
        <v>0.54419300482560795</v>
      </c>
      <c r="AC52" s="626">
        <v>0.54406716338269601</v>
      </c>
      <c r="AD52" s="626">
        <v>0.54454326863338498</v>
      </c>
      <c r="AE52" s="626">
        <v>0.54549470572314895</v>
      </c>
      <c r="AF52" s="626">
        <v>0.54668554436785999</v>
      </c>
      <c r="AG52" s="626">
        <v>0.54794496152149197</v>
      </c>
    </row>
    <row r="53" spans="1:33" x14ac:dyDescent="0.3">
      <c r="A53" s="369" t="s">
        <v>64</v>
      </c>
      <c r="B53" s="370" t="s">
        <v>64</v>
      </c>
      <c r="C53" s="626">
        <v>0.46539129353519598</v>
      </c>
      <c r="D53" s="626">
        <v>0.46610111467987098</v>
      </c>
      <c r="E53" s="626">
        <v>0.466078712477904</v>
      </c>
      <c r="F53" s="626">
        <v>0.46571744400734294</v>
      </c>
      <c r="G53" s="626">
        <v>0.46558705831855707</v>
      </c>
      <c r="H53" s="626">
        <v>0.46601177070828298</v>
      </c>
      <c r="I53" s="626">
        <v>0.46867186053898202</v>
      </c>
      <c r="J53" s="626">
        <v>0.47286272130266099</v>
      </c>
      <c r="K53" s="626">
        <v>0.478430369869427</v>
      </c>
      <c r="L53" s="626">
        <v>0.48503619946807303</v>
      </c>
      <c r="M53" s="626">
        <v>0.49233519594012798</v>
      </c>
      <c r="N53" s="626">
        <v>0.49629888566699898</v>
      </c>
      <c r="O53" s="626">
        <v>0.50011359496003804</v>
      </c>
      <c r="P53" s="626">
        <v>0.50379510851607701</v>
      </c>
      <c r="Q53" s="626">
        <v>0.50738731143723503</v>
      </c>
      <c r="R53" s="626">
        <v>0.51091888611748204</v>
      </c>
      <c r="S53" s="626">
        <v>0.51423166679048105</v>
      </c>
      <c r="T53" s="626">
        <v>0.517311641131456</v>
      </c>
      <c r="U53" s="626">
        <v>0.52029526218418198</v>
      </c>
      <c r="V53" s="626">
        <v>0.52339242869292701</v>
      </c>
      <c r="W53" s="626">
        <v>0.52668843443222302</v>
      </c>
      <c r="X53" s="626">
        <v>0.52999350796392297</v>
      </c>
      <c r="Y53" s="626">
        <v>0.53352566883723795</v>
      </c>
      <c r="Z53" s="626">
        <v>0.53684691164560305</v>
      </c>
      <c r="AA53" s="626">
        <v>0.53930315257805905</v>
      </c>
      <c r="AB53" s="626">
        <v>0.54052310803622905</v>
      </c>
      <c r="AC53" s="626">
        <v>0.54048020025580101</v>
      </c>
      <c r="AD53" s="626">
        <v>0.53930029103566801</v>
      </c>
      <c r="AE53" s="626">
        <v>0.53741833261425398</v>
      </c>
      <c r="AF53" s="626">
        <v>0.53547092684851805</v>
      </c>
      <c r="AG53" s="626">
        <v>0.53387201200635903</v>
      </c>
    </row>
    <row r="54" spans="1:33" x14ac:dyDescent="0.3">
      <c r="A54" s="369" t="s">
        <v>179</v>
      </c>
      <c r="B54" s="370" t="s">
        <v>179</v>
      </c>
      <c r="C54" s="626">
        <v>0.56712589635102195</v>
      </c>
      <c r="D54" s="626">
        <v>0.56631432949273597</v>
      </c>
      <c r="E54" s="626">
        <v>0.56526863058966803</v>
      </c>
      <c r="F54" s="626">
        <v>0.56391284696989796</v>
      </c>
      <c r="G54" s="626">
        <v>0.56220670578985998</v>
      </c>
      <c r="H54" s="626">
        <v>0.56017152706711404</v>
      </c>
      <c r="I54" s="626">
        <v>0.55805133084266401</v>
      </c>
      <c r="J54" s="626">
        <v>0.555711859189848</v>
      </c>
      <c r="K54" s="626">
        <v>0.55327494666098398</v>
      </c>
      <c r="L54" s="626">
        <v>0.55091529892384095</v>
      </c>
      <c r="M54" s="626">
        <v>0.54875983006120899</v>
      </c>
      <c r="N54" s="626">
        <v>0.54754595548940499</v>
      </c>
      <c r="O54" s="626">
        <v>0.54653754473362004</v>
      </c>
      <c r="P54" s="626">
        <v>0.54563351063889998</v>
      </c>
      <c r="Q54" s="626">
        <v>0.54452483532861395</v>
      </c>
      <c r="R54" s="626">
        <v>0.54337980700464705</v>
      </c>
      <c r="S54" s="626">
        <v>0.54249141583152705</v>
      </c>
      <c r="T54" s="626">
        <v>0.54162931479141596</v>
      </c>
      <c r="U54" s="626">
        <v>0.54075954896123601</v>
      </c>
      <c r="V54" s="626">
        <v>0.53985646297026302</v>
      </c>
      <c r="W54" s="626">
        <v>0.53890433678815697</v>
      </c>
      <c r="X54" s="626">
        <v>0.53815104196901398</v>
      </c>
      <c r="Y54" s="626">
        <v>0.53738487810038804</v>
      </c>
      <c r="Z54" s="626">
        <v>0.53657532462559399</v>
      </c>
      <c r="AA54" s="626">
        <v>0.53570001975989101</v>
      </c>
      <c r="AB54" s="626">
        <v>0.53474720529789499</v>
      </c>
      <c r="AC54" s="626">
        <v>0.53395779261507803</v>
      </c>
      <c r="AD54" s="626">
        <v>0.53313669076858095</v>
      </c>
      <c r="AE54" s="626">
        <v>0.53229015009292002</v>
      </c>
      <c r="AF54" s="626">
        <v>0.53144602141540698</v>
      </c>
      <c r="AG54" s="626">
        <v>0.53062826572381805</v>
      </c>
    </row>
    <row r="55" spans="1:33" x14ac:dyDescent="0.3">
      <c r="A55" s="369" t="s">
        <v>725</v>
      </c>
      <c r="B55" s="370" t="s">
        <v>115</v>
      </c>
      <c r="C55" s="626">
        <v>0.66796682813499797</v>
      </c>
      <c r="D55" s="626">
        <v>0.67074102940505298</v>
      </c>
      <c r="E55" s="626">
        <v>0.67270866100634696</v>
      </c>
      <c r="F55" s="626">
        <v>0.67381471571173801</v>
      </c>
      <c r="G55" s="626">
        <v>0.67396332941455095</v>
      </c>
      <c r="H55" s="626">
        <v>0.67313894518220496</v>
      </c>
      <c r="I55" s="626">
        <v>0.67141850565285599</v>
      </c>
      <c r="J55" s="626">
        <v>0.668651830277051</v>
      </c>
      <c r="K55" s="626">
        <v>0.66533175660632904</v>
      </c>
      <c r="L55" s="626">
        <v>0.66214472705050498</v>
      </c>
      <c r="M55" s="626">
        <v>0.65974377435078813</v>
      </c>
      <c r="N55" s="626">
        <v>0.65820403660288296</v>
      </c>
      <c r="O55" s="626">
        <v>0.65762252381208197</v>
      </c>
      <c r="P55" s="626">
        <v>0.65759819729714797</v>
      </c>
      <c r="Q55" s="626">
        <v>0.657409883390212</v>
      </c>
      <c r="R55" s="626">
        <v>0.656616071468483</v>
      </c>
      <c r="S55" s="626">
        <v>0.65537293557916898</v>
      </c>
      <c r="T55" s="626">
        <v>0.65363388665626898</v>
      </c>
      <c r="U55" s="626">
        <v>0.65164310783984403</v>
      </c>
      <c r="V55" s="626">
        <v>0.64984207986043208</v>
      </c>
      <c r="W55" s="626">
        <v>0.64852745641391796</v>
      </c>
      <c r="X55" s="626">
        <v>0.64764999360674902</v>
      </c>
      <c r="Y55" s="626">
        <v>0.64715101609550696</v>
      </c>
      <c r="Z55" s="626">
        <v>0.64707036158646802</v>
      </c>
      <c r="AA55" s="626">
        <v>0.64743478603199212</v>
      </c>
      <c r="AB55" s="626">
        <v>0.64820668204734899</v>
      </c>
      <c r="AC55" s="626">
        <v>0.64937504805136204</v>
      </c>
      <c r="AD55" s="626">
        <v>0.65094739590656403</v>
      </c>
      <c r="AE55" s="626">
        <v>0.65245271162948004</v>
      </c>
      <c r="AF55" s="626">
        <v>0.65324172137302616</v>
      </c>
      <c r="AG55" s="626">
        <v>0.65293685939256685</v>
      </c>
    </row>
    <row r="56" spans="1:33" x14ac:dyDescent="0.3">
      <c r="A56" s="369" t="s">
        <v>726</v>
      </c>
      <c r="B56" s="370" t="s">
        <v>178</v>
      </c>
      <c r="C56" s="626">
        <v>0.65467532539041295</v>
      </c>
      <c r="D56" s="626">
        <v>0.65294146135699005</v>
      </c>
      <c r="E56" s="626">
        <v>0.65122520638455517</v>
      </c>
      <c r="F56" s="626">
        <v>0.64953011121519988</v>
      </c>
      <c r="G56" s="626">
        <v>0.64785009105997404</v>
      </c>
      <c r="H56" s="626">
        <v>0.64617129429937703</v>
      </c>
      <c r="I56" s="626">
        <v>0.64450380912932104</v>
      </c>
      <c r="J56" s="626">
        <v>0.64280224982059297</v>
      </c>
      <c r="K56" s="626">
        <v>0.641100699862999</v>
      </c>
      <c r="L56" s="626">
        <v>0.639441387134282</v>
      </c>
      <c r="M56" s="626">
        <v>0.63783234882733097</v>
      </c>
      <c r="N56" s="626">
        <v>0.63626645714197805</v>
      </c>
      <c r="O56" s="626">
        <v>0.634723112296671</v>
      </c>
      <c r="P56" s="626">
        <v>0.63315640349181801</v>
      </c>
      <c r="Q56" s="626">
        <v>0.63145267944002703</v>
      </c>
      <c r="R56" s="626">
        <v>0.629442949232352</v>
      </c>
      <c r="S56" s="626">
        <v>0.62715741701871697</v>
      </c>
      <c r="T56" s="626">
        <v>0.62459896665069004</v>
      </c>
      <c r="U56" s="626">
        <v>0.62179490000375603</v>
      </c>
      <c r="V56" s="626">
        <v>0.61877714832353403</v>
      </c>
      <c r="W56" s="626">
        <v>0.61556723162274596</v>
      </c>
      <c r="X56" s="626">
        <v>0.61218055667901705</v>
      </c>
      <c r="Y56" s="626">
        <v>0.60862502650413897</v>
      </c>
      <c r="Z56" s="626">
        <v>0.60494593177095402</v>
      </c>
      <c r="AA56" s="626">
        <v>0.601198431745811</v>
      </c>
      <c r="AB56" s="626">
        <v>0.59741766283386699</v>
      </c>
      <c r="AC56" s="626">
        <v>0.59360169523332296</v>
      </c>
      <c r="AD56" s="626">
        <v>0.58974047660728601</v>
      </c>
      <c r="AE56" s="626">
        <v>0.58588249163986195</v>
      </c>
      <c r="AF56" s="626">
        <v>0.58209055495825401</v>
      </c>
      <c r="AG56" s="626">
        <v>0.57838772769071001</v>
      </c>
    </row>
    <row r="57" spans="1:33" x14ac:dyDescent="0.3">
      <c r="A57" s="369" t="s">
        <v>182</v>
      </c>
      <c r="B57" s="370" t="s">
        <v>182</v>
      </c>
      <c r="C57" s="626">
        <v>0.58378548343001802</v>
      </c>
      <c r="D57" s="626">
        <v>0.58307271459506504</v>
      </c>
      <c r="E57" s="626">
        <v>0.58214605265327302</v>
      </c>
      <c r="F57" s="626">
        <v>0.581070696953085</v>
      </c>
      <c r="G57" s="626">
        <v>0.57995029731845305</v>
      </c>
      <c r="H57" s="626">
        <v>0.57885699765409004</v>
      </c>
      <c r="I57" s="626">
        <v>0.57807037493818403</v>
      </c>
      <c r="J57" s="626">
        <v>0.57734470613566002</v>
      </c>
      <c r="K57" s="626">
        <v>0.57663203407709795</v>
      </c>
      <c r="L57" s="626">
        <v>0.57586356647370196</v>
      </c>
      <c r="M57" s="626">
        <v>0.57501071366664303</v>
      </c>
      <c r="N57" s="626">
        <v>0.57400870769413603</v>
      </c>
      <c r="O57" s="626">
        <v>0.57290991582234196</v>
      </c>
      <c r="P57" s="626">
        <v>0.57177731826449796</v>
      </c>
      <c r="Q57" s="626">
        <v>0.57070775046088995</v>
      </c>
      <c r="R57" s="626">
        <v>0.569758586504863</v>
      </c>
      <c r="S57" s="626">
        <v>0.56879638217967499</v>
      </c>
      <c r="T57" s="626">
        <v>0.56801960576872201</v>
      </c>
      <c r="U57" s="626">
        <v>0.56740664855946099</v>
      </c>
      <c r="V57" s="626">
        <v>0.56691006580873304</v>
      </c>
      <c r="W57" s="626">
        <v>0.56649699488665695</v>
      </c>
      <c r="X57" s="626">
        <v>0.56614360802011998</v>
      </c>
      <c r="Y57" s="626">
        <v>0.56575170231595795</v>
      </c>
      <c r="Z57" s="626">
        <v>0.56526978992214905</v>
      </c>
      <c r="AA57" s="626">
        <v>0.56463670789993303</v>
      </c>
      <c r="AB57" s="626">
        <v>0.56382531580652995</v>
      </c>
      <c r="AC57" s="626">
        <v>0.56293245573100203</v>
      </c>
      <c r="AD57" s="626">
        <v>0.56191975559843899</v>
      </c>
      <c r="AE57" s="626">
        <v>0.56080548366809702</v>
      </c>
      <c r="AF57" s="626">
        <v>0.55961605313211404</v>
      </c>
      <c r="AG57" s="626">
        <v>0.55837352046773803</v>
      </c>
    </row>
    <row r="58" spans="1:33" x14ac:dyDescent="0.3">
      <c r="A58" s="369" t="s">
        <v>65</v>
      </c>
      <c r="B58" s="370" t="s">
        <v>65</v>
      </c>
      <c r="C58" s="626">
        <v>0.63201421321872098</v>
      </c>
      <c r="D58" s="626">
        <v>0.63384891921474296</v>
      </c>
      <c r="E58" s="626">
        <v>0.63600283734912599</v>
      </c>
      <c r="F58" s="626">
        <v>0.63869101522360605</v>
      </c>
      <c r="G58" s="626">
        <v>0.642198901203482</v>
      </c>
      <c r="H58" s="626">
        <v>0.64664348190259402</v>
      </c>
      <c r="I58" s="626">
        <v>0.65197861270387103</v>
      </c>
      <c r="J58" s="626">
        <v>0.65807263788132597</v>
      </c>
      <c r="K58" s="626">
        <v>0.66457585290427001</v>
      </c>
      <c r="L58" s="626">
        <v>0.67100235240838402</v>
      </c>
      <c r="M58" s="626">
        <v>0.67705760483087607</v>
      </c>
      <c r="N58" s="626">
        <v>0.68277680195621604</v>
      </c>
      <c r="O58" s="626">
        <v>0.68812246758624196</v>
      </c>
      <c r="P58" s="626">
        <v>0.69316469229050715</v>
      </c>
      <c r="Q58" s="626">
        <v>0.69803557680068795</v>
      </c>
      <c r="R58" s="626">
        <v>0.70255406885191096</v>
      </c>
      <c r="S58" s="626">
        <v>0.706540002725632</v>
      </c>
      <c r="T58" s="626">
        <v>0.709940956686271</v>
      </c>
      <c r="U58" s="626">
        <v>0.71272220268227304</v>
      </c>
      <c r="V58" s="626">
        <v>0.71483831106802898</v>
      </c>
      <c r="W58" s="626">
        <v>0.71623759723205704</v>
      </c>
      <c r="X58" s="626">
        <v>0.71704525895929605</v>
      </c>
      <c r="Y58" s="626">
        <v>0.71728023001097396</v>
      </c>
      <c r="Z58" s="626">
        <v>0.71658935084333297</v>
      </c>
      <c r="AA58" s="626">
        <v>0.71445370952941301</v>
      </c>
      <c r="AB58" s="626">
        <v>0.71065372739978006</v>
      </c>
      <c r="AC58" s="626">
        <v>0.70537683803789586</v>
      </c>
      <c r="AD58" s="626">
        <v>0.69862068599561</v>
      </c>
      <c r="AE58" s="626">
        <v>0.69110646517824503</v>
      </c>
      <c r="AF58" s="626">
        <v>0.68382980848263597</v>
      </c>
      <c r="AG58" s="626">
        <v>0.67734931866576797</v>
      </c>
    </row>
    <row r="59" spans="1:33" x14ac:dyDescent="0.3">
      <c r="A59" s="369" t="s">
        <v>184</v>
      </c>
      <c r="B59" s="370" t="s">
        <v>184</v>
      </c>
      <c r="C59" s="626">
        <v>0.55429234728741095</v>
      </c>
      <c r="D59" s="626">
        <v>0.55341617140781596</v>
      </c>
      <c r="E59" s="626">
        <v>0.552343992822381</v>
      </c>
      <c r="F59" s="626">
        <v>0.55100578075178497</v>
      </c>
      <c r="G59" s="626">
        <v>0.54931904182206903</v>
      </c>
      <c r="H59" s="626">
        <v>0.54724463841749205</v>
      </c>
      <c r="I59" s="626">
        <v>0.54515434476206903</v>
      </c>
      <c r="J59" s="626">
        <v>0.54279201274480904</v>
      </c>
      <c r="K59" s="626">
        <v>0.54029655631246598</v>
      </c>
      <c r="L59" s="626">
        <v>0.53786393115921405</v>
      </c>
      <c r="M59" s="626">
        <v>0.53560906798900598</v>
      </c>
      <c r="N59" s="626">
        <v>0.53372344579937003</v>
      </c>
      <c r="O59" s="626">
        <v>0.53204496406629698</v>
      </c>
      <c r="P59" s="626">
        <v>0.53069225903930195</v>
      </c>
      <c r="Q59" s="626">
        <v>0.52982902679760402</v>
      </c>
      <c r="R59" s="626">
        <v>0.52945917226522998</v>
      </c>
      <c r="S59" s="626">
        <v>0.529874879485985</v>
      </c>
      <c r="T59" s="626">
        <v>0.53092113010725395</v>
      </c>
      <c r="U59" s="626">
        <v>0.53237291261214204</v>
      </c>
      <c r="V59" s="626">
        <v>0.53388539488310005</v>
      </c>
      <c r="W59" s="626">
        <v>0.53522642951923505</v>
      </c>
      <c r="X59" s="626">
        <v>0.53658795629475098</v>
      </c>
      <c r="Y59" s="626">
        <v>0.53783612005438297</v>
      </c>
      <c r="Z59" s="626">
        <v>0.53897748659602396</v>
      </c>
      <c r="AA59" s="626">
        <v>0.54004867184398297</v>
      </c>
      <c r="AB59" s="626">
        <v>0.54105329644269595</v>
      </c>
      <c r="AC59" s="626">
        <v>0.54207248173584499</v>
      </c>
      <c r="AD59" s="626">
        <v>0.54301097359441097</v>
      </c>
      <c r="AE59" s="626">
        <v>0.54383337786855601</v>
      </c>
      <c r="AF59" s="626">
        <v>0.54450205099943305</v>
      </c>
      <c r="AG59" s="626">
        <v>0.54498630226431299</v>
      </c>
    </row>
    <row r="60" spans="1:33" x14ac:dyDescent="0.3">
      <c r="A60" s="369" t="s">
        <v>292</v>
      </c>
      <c r="B60" s="370" t="s">
        <v>292</v>
      </c>
      <c r="C60" s="626">
        <v>0.60543150803551804</v>
      </c>
      <c r="D60" s="626">
        <v>0.60372131933589601</v>
      </c>
      <c r="E60" s="626">
        <v>0.60347810455749595</v>
      </c>
      <c r="F60" s="626">
        <v>0.60465782689124703</v>
      </c>
      <c r="G60" s="626">
        <v>0.60680699849716002</v>
      </c>
      <c r="H60" s="626">
        <v>0.60935773975638097</v>
      </c>
      <c r="I60" s="626">
        <v>0.60896864417955299</v>
      </c>
      <c r="J60" s="626">
        <v>0.60952019783077405</v>
      </c>
      <c r="K60" s="626">
        <v>0.61116646696210997</v>
      </c>
      <c r="L60" s="626">
        <v>0.61357284968936598</v>
      </c>
      <c r="M60" s="626">
        <v>0.61617343135792602</v>
      </c>
      <c r="N60" s="626">
        <v>0.61488616425227605</v>
      </c>
      <c r="O60" s="626">
        <v>0.61407716059179296</v>
      </c>
      <c r="P60" s="626">
        <v>0.61406263202980904</v>
      </c>
      <c r="Q60" s="626">
        <v>0.61474323682731202</v>
      </c>
      <c r="R60" s="626">
        <v>0.61567375245899703</v>
      </c>
      <c r="S60" s="626">
        <v>0.61160124818339101</v>
      </c>
      <c r="T60" s="626">
        <v>0.60803018119068197</v>
      </c>
      <c r="U60" s="626">
        <v>0.60539186194965799</v>
      </c>
      <c r="V60" s="626">
        <v>0.60373741886928201</v>
      </c>
      <c r="W60" s="626">
        <v>0.60276946311198298</v>
      </c>
      <c r="X60" s="626">
        <v>0.59838612020536497</v>
      </c>
      <c r="Y60" s="626">
        <v>0.59400510157945996</v>
      </c>
      <c r="Z60" s="626">
        <v>0.58994965380182496</v>
      </c>
      <c r="AA60" s="626">
        <v>0.58650944614159295</v>
      </c>
      <c r="AB60" s="626">
        <v>0.58382018730712504</v>
      </c>
      <c r="AC60" s="626">
        <v>0.580670107123756</v>
      </c>
      <c r="AD60" s="626">
        <v>0.57774376358988999</v>
      </c>
      <c r="AE60" s="626">
        <v>0.57508831745862199</v>
      </c>
      <c r="AF60" s="626">
        <v>0.57268992795450002</v>
      </c>
      <c r="AG60" s="626">
        <v>0.57053731402292196</v>
      </c>
    </row>
    <row r="61" spans="1:33" x14ac:dyDescent="0.3">
      <c r="A61" s="369" t="s">
        <v>66</v>
      </c>
      <c r="B61" s="370" t="s">
        <v>66</v>
      </c>
      <c r="C61" s="626">
        <v>0.61017475514812702</v>
      </c>
      <c r="D61" s="626">
        <v>0.60762471802962803</v>
      </c>
      <c r="E61" s="626">
        <v>0.60647492127193103</v>
      </c>
      <c r="F61" s="626">
        <v>0.60657746383370903</v>
      </c>
      <c r="G61" s="626">
        <v>0.60817241946344103</v>
      </c>
      <c r="H61" s="626">
        <v>0.61141013116269305</v>
      </c>
      <c r="I61" s="626">
        <v>0.61382852079012595</v>
      </c>
      <c r="J61" s="626">
        <v>0.616946243051536</v>
      </c>
      <c r="K61" s="626">
        <v>0.62035947485697995</v>
      </c>
      <c r="L61" s="626">
        <v>0.62373743339127496</v>
      </c>
      <c r="M61" s="626">
        <v>0.62698865856871999</v>
      </c>
      <c r="N61" s="626">
        <v>0.63057443699604898</v>
      </c>
      <c r="O61" s="626">
        <v>0.63369864759340999</v>
      </c>
      <c r="P61" s="626">
        <v>0.63565070876396701</v>
      </c>
      <c r="Q61" s="626">
        <v>0.63555239047380097</v>
      </c>
      <c r="R61" s="626">
        <v>0.63299386437892602</v>
      </c>
      <c r="S61" s="626">
        <v>0.63101663591110801</v>
      </c>
      <c r="T61" s="626">
        <v>0.62785855449260697</v>
      </c>
      <c r="U61" s="626">
        <v>0.62364283749503702</v>
      </c>
      <c r="V61" s="626">
        <v>0.61845202563062696</v>
      </c>
      <c r="W61" s="626">
        <v>0.61234387503757703</v>
      </c>
      <c r="X61" s="626">
        <v>0.606552205292609</v>
      </c>
      <c r="Y61" s="626">
        <v>0.59966676831230203</v>
      </c>
      <c r="Z61" s="626">
        <v>0.59243915265545599</v>
      </c>
      <c r="AA61" s="626">
        <v>0.58596077296648796</v>
      </c>
      <c r="AB61" s="626">
        <v>0.58083188701144695</v>
      </c>
      <c r="AC61" s="626">
        <v>0.57734621698108501</v>
      </c>
      <c r="AD61" s="626">
        <v>0.57516646278368799</v>
      </c>
      <c r="AE61" s="626">
        <v>0.57378196020286198</v>
      </c>
      <c r="AF61" s="626">
        <v>0.572468152645499</v>
      </c>
      <c r="AG61" s="626">
        <v>0.57082576779210104</v>
      </c>
    </row>
    <row r="62" spans="1:33" x14ac:dyDescent="0.3">
      <c r="A62" s="369" t="s">
        <v>336</v>
      </c>
      <c r="B62" s="370" t="s">
        <v>336</v>
      </c>
      <c r="C62" s="626">
        <v>0.57109430398674899</v>
      </c>
      <c r="D62" s="626">
        <v>0.56371464451090703</v>
      </c>
      <c r="E62" s="626">
        <v>0.55608397434224499</v>
      </c>
      <c r="F62" s="626">
        <v>0.548560411790595</v>
      </c>
      <c r="G62" s="626">
        <v>0.54168639613588898</v>
      </c>
      <c r="H62" s="626">
        <v>0.53579442131483201</v>
      </c>
      <c r="I62" s="626">
        <v>0.53074151596595398</v>
      </c>
      <c r="J62" s="626">
        <v>0.52656128679720504</v>
      </c>
      <c r="K62" s="626">
        <v>0.52308575334898499</v>
      </c>
      <c r="L62" s="626">
        <v>0.52003791959583001</v>
      </c>
      <c r="M62" s="626">
        <v>0.51722498417761598</v>
      </c>
      <c r="N62" s="626">
        <v>0.51498239768246601</v>
      </c>
      <c r="O62" s="626">
        <v>0.51287641391690597</v>
      </c>
      <c r="P62" s="626">
        <v>0.51119656334591201</v>
      </c>
      <c r="Q62" s="626">
        <v>0.50944455209995998</v>
      </c>
      <c r="R62" s="626">
        <v>0.50725834651681101</v>
      </c>
      <c r="S62" s="626">
        <v>0.50406216059619902</v>
      </c>
      <c r="T62" s="626">
        <v>0.50095335838093802</v>
      </c>
      <c r="U62" s="626">
        <v>0.49791154952199901</v>
      </c>
      <c r="V62" s="626">
        <v>0.494853925844571</v>
      </c>
      <c r="W62" s="626">
        <v>0.49166877586975405</v>
      </c>
      <c r="X62" s="626">
        <v>0.48793996127223899</v>
      </c>
      <c r="Y62" s="626">
        <v>0.483431525890271</v>
      </c>
      <c r="Z62" s="626">
        <v>0.47847598080300896</v>
      </c>
      <c r="AA62" s="626">
        <v>0.47366520566717507</v>
      </c>
      <c r="AB62" s="626">
        <v>0.46942763866371201</v>
      </c>
      <c r="AC62" s="626">
        <v>0.46582064388686101</v>
      </c>
      <c r="AD62" s="626">
        <v>0.46281703664585699</v>
      </c>
      <c r="AE62" s="626">
        <v>0.46050654851546002</v>
      </c>
      <c r="AF62" s="626">
        <v>0.45893791708179199</v>
      </c>
      <c r="AG62" s="626">
        <v>0.45812451911239699</v>
      </c>
    </row>
    <row r="63" spans="1:33" x14ac:dyDescent="0.3">
      <c r="A63" s="369" t="s">
        <v>32</v>
      </c>
      <c r="B63" s="370" t="s">
        <v>32</v>
      </c>
      <c r="C63" s="626">
        <v>0.67654418529767002</v>
      </c>
      <c r="D63" s="626">
        <v>0.67177701912226495</v>
      </c>
      <c r="E63" s="626">
        <v>0.66741516484740804</v>
      </c>
      <c r="F63" s="626">
        <v>0.66325008197657997</v>
      </c>
      <c r="G63" s="626">
        <v>0.65893584672103001</v>
      </c>
      <c r="H63" s="626">
        <v>0.65417800111721802</v>
      </c>
      <c r="I63" s="626">
        <v>0.64900477874177498</v>
      </c>
      <c r="J63" s="626">
        <v>0.64339566965155792</v>
      </c>
      <c r="K63" s="626">
        <v>0.63734039867169801</v>
      </c>
      <c r="L63" s="626">
        <v>0.63098823061303499</v>
      </c>
      <c r="M63" s="626">
        <v>0.624534820756945</v>
      </c>
      <c r="N63" s="626">
        <v>0.61833934498835397</v>
      </c>
      <c r="O63" s="626">
        <v>0.61960967731736505</v>
      </c>
      <c r="P63" s="626">
        <v>0.62127091377698995</v>
      </c>
      <c r="Q63" s="626">
        <v>0.62348964476612201</v>
      </c>
      <c r="R63" s="626">
        <v>0.62632901882754399</v>
      </c>
      <c r="S63" s="626">
        <v>0.62959736438052705</v>
      </c>
      <c r="T63" s="626">
        <v>0.63300526596488405</v>
      </c>
      <c r="U63" s="626">
        <v>0.63640606043087899</v>
      </c>
      <c r="V63" s="626">
        <v>0.63975701153903897</v>
      </c>
      <c r="W63" s="626">
        <v>0.64301185430900698</v>
      </c>
      <c r="X63" s="626">
        <v>0.646081027585515</v>
      </c>
      <c r="Y63" s="626">
        <v>0.64901966890355789</v>
      </c>
      <c r="Z63" s="626">
        <v>0.651658311785966</v>
      </c>
      <c r="AA63" s="626">
        <v>0.65376480206837995</v>
      </c>
      <c r="AB63" s="626">
        <v>0.65519867613481997</v>
      </c>
      <c r="AC63" s="626">
        <v>0.65594841702736806</v>
      </c>
      <c r="AD63" s="626">
        <v>0.65606004138849494</v>
      </c>
      <c r="AE63" s="626">
        <v>0.65556101347042106</v>
      </c>
      <c r="AF63" s="626">
        <v>0.65449790932407292</v>
      </c>
      <c r="AG63" s="626">
        <v>0.65290050758588203</v>
      </c>
    </row>
    <row r="64" spans="1:33" x14ac:dyDescent="0.3">
      <c r="A64" s="369" t="s">
        <v>397</v>
      </c>
      <c r="B64" s="370" t="s">
        <v>397</v>
      </c>
      <c r="C64" s="626">
        <v>0.59879708336732396</v>
      </c>
      <c r="D64" s="626">
        <v>0.60090812245110103</v>
      </c>
      <c r="E64" s="626">
        <v>0.60387062460538299</v>
      </c>
      <c r="F64" s="626">
        <v>0.60725990271569896</v>
      </c>
      <c r="G64" s="626">
        <v>0.61054281113506903</v>
      </c>
      <c r="H64" s="626">
        <v>0.61346930376708997</v>
      </c>
      <c r="I64" s="626">
        <v>0.61104887220103299</v>
      </c>
      <c r="J64" s="626">
        <v>0.60814810835570698</v>
      </c>
      <c r="K64" s="626">
        <v>0.60477578269042198</v>
      </c>
      <c r="L64" s="626">
        <v>0.60148293678224996</v>
      </c>
      <c r="M64" s="626">
        <v>0.59863870420037701</v>
      </c>
      <c r="N64" s="626">
        <v>0.59769478563563405</v>
      </c>
      <c r="O64" s="626">
        <v>0.59693017285602801</v>
      </c>
      <c r="P64" s="626">
        <v>0.59625533804791297</v>
      </c>
      <c r="Q64" s="626">
        <v>0.59556097230774796</v>
      </c>
      <c r="R64" s="626">
        <v>0.59477129800902095</v>
      </c>
      <c r="S64" s="626">
        <v>0.59400141110751703</v>
      </c>
      <c r="T64" s="626">
        <v>0.59309775095396799</v>
      </c>
      <c r="U64" s="626">
        <v>0.59185386500566295</v>
      </c>
      <c r="V64" s="626">
        <v>0.59006802617239895</v>
      </c>
      <c r="W64" s="626">
        <v>0.58775408957999897</v>
      </c>
      <c r="X64" s="626">
        <v>0.58632729934021699</v>
      </c>
      <c r="Y64" s="626">
        <v>0.584415930671219</v>
      </c>
      <c r="Z64" s="626">
        <v>0.58206592552565195</v>
      </c>
      <c r="AA64" s="626">
        <v>0.57936515445026204</v>
      </c>
      <c r="AB64" s="626">
        <v>0.57637345807916296</v>
      </c>
      <c r="AC64" s="626">
        <v>0.57326985433329503</v>
      </c>
      <c r="AD64" s="626">
        <v>0.57008351680604397</v>
      </c>
      <c r="AE64" s="626">
        <v>0.56683817750291898</v>
      </c>
      <c r="AF64" s="626">
        <v>0.56358056314000304</v>
      </c>
      <c r="AG64" s="626">
        <v>0.56034246625395001</v>
      </c>
    </row>
    <row r="65" spans="1:33" x14ac:dyDescent="0.3">
      <c r="A65" s="369" t="s">
        <v>337</v>
      </c>
      <c r="B65" s="370" t="s">
        <v>337</v>
      </c>
      <c r="C65" s="626">
        <v>0.61055856488026605</v>
      </c>
      <c r="D65" s="626">
        <v>0.607628852422749</v>
      </c>
      <c r="E65" s="626">
        <v>0.60520607527078496</v>
      </c>
      <c r="F65" s="626">
        <v>0.60305247425901198</v>
      </c>
      <c r="G65" s="626">
        <v>0.60076664034604998</v>
      </c>
      <c r="H65" s="626">
        <v>0.59811773864912399</v>
      </c>
      <c r="I65" s="626">
        <v>0.59495853496662499</v>
      </c>
      <c r="J65" s="626">
        <v>0.59154446290011997</v>
      </c>
      <c r="K65" s="626">
        <v>0.58813542577396005</v>
      </c>
      <c r="L65" s="626">
        <v>0.58518150973239302</v>
      </c>
      <c r="M65" s="626">
        <v>0.58297310373306999</v>
      </c>
      <c r="N65" s="626">
        <v>0.58087913013597103</v>
      </c>
      <c r="O65" s="626">
        <v>0.579631634247331</v>
      </c>
      <c r="P65" s="626">
        <v>0.57906693651877805</v>
      </c>
      <c r="Q65" s="626">
        <v>0.57881885802589395</v>
      </c>
      <c r="R65" s="626">
        <v>0.57859382938121795</v>
      </c>
      <c r="S65" s="626">
        <v>0.57799471009577696</v>
      </c>
      <c r="T65" s="626">
        <v>0.57740849689436602</v>
      </c>
      <c r="U65" s="626">
        <v>0.57681875332697796</v>
      </c>
      <c r="V65" s="626">
        <v>0.576178510919229</v>
      </c>
      <c r="W65" s="626">
        <v>0.57542464471888199</v>
      </c>
      <c r="X65" s="626">
        <v>0.57413168044367002</v>
      </c>
      <c r="Y65" s="626">
        <v>0.57270395826104004</v>
      </c>
      <c r="Z65" s="626">
        <v>0.57124919700973997</v>
      </c>
      <c r="AA65" s="626">
        <v>0.56986584460564804</v>
      </c>
      <c r="AB65" s="626">
        <v>0.56859210145611405</v>
      </c>
      <c r="AC65" s="626">
        <v>0.56700903777192102</v>
      </c>
      <c r="AD65" s="626">
        <v>0.56548704447818399</v>
      </c>
      <c r="AE65" s="626">
        <v>0.564212732974957</v>
      </c>
      <c r="AF65" s="626">
        <v>0.56339539360744495</v>
      </c>
      <c r="AG65" s="626">
        <v>0.56313640461665704</v>
      </c>
    </row>
    <row r="66" spans="1:33" x14ac:dyDescent="0.3">
      <c r="A66" s="369" t="s">
        <v>359</v>
      </c>
      <c r="B66" s="370" t="s">
        <v>359</v>
      </c>
      <c r="C66" s="626">
        <v>0.61643023050566104</v>
      </c>
      <c r="D66" s="626">
        <v>0.61236269074665794</v>
      </c>
      <c r="E66" s="626">
        <v>0.60824204594310205</v>
      </c>
      <c r="F66" s="626">
        <v>0.60414146507159505</v>
      </c>
      <c r="G66" s="626">
        <v>0.60015916308503903</v>
      </c>
      <c r="H66" s="626">
        <v>0.59636508382583198</v>
      </c>
      <c r="I66" s="626">
        <v>0.59321362116952903</v>
      </c>
      <c r="J66" s="626">
        <v>0.59031089600845998</v>
      </c>
      <c r="K66" s="626">
        <v>0.58749442111764805</v>
      </c>
      <c r="L66" s="626">
        <v>0.58455024727790195</v>
      </c>
      <c r="M66" s="626">
        <v>0.58134483399023595</v>
      </c>
      <c r="N66" s="626">
        <v>0.57830275918902696</v>
      </c>
      <c r="O66" s="626">
        <v>0.574735286262818</v>
      </c>
      <c r="P66" s="626">
        <v>0.57114840439022296</v>
      </c>
      <c r="Q66" s="626">
        <v>0.56751196873062904</v>
      </c>
      <c r="R66" s="626">
        <v>0.56379529803592499</v>
      </c>
      <c r="S66" s="626">
        <v>0.56034949545549495</v>
      </c>
      <c r="T66" s="626">
        <v>0.55703930927617895</v>
      </c>
      <c r="U66" s="626">
        <v>0.55384284615630197</v>
      </c>
      <c r="V66" s="626">
        <v>0.55075025435755298</v>
      </c>
      <c r="W66" s="626">
        <v>0.54773365875552404</v>
      </c>
      <c r="X66" s="626">
        <v>0.544306101125557</v>
      </c>
      <c r="Y66" s="626">
        <v>0.54099954480726098</v>
      </c>
      <c r="Z66" s="626">
        <v>0.53787551683821599</v>
      </c>
      <c r="AA66" s="626">
        <v>0.53505418706198604</v>
      </c>
      <c r="AB66" s="626">
        <v>0.53260970975635202</v>
      </c>
      <c r="AC66" s="626">
        <v>0.53054739617680802</v>
      </c>
      <c r="AD66" s="626">
        <v>0.52896412923746305</v>
      </c>
      <c r="AE66" s="626">
        <v>0.52783584902633396</v>
      </c>
      <c r="AF66" s="626">
        <v>0.52713514832002295</v>
      </c>
      <c r="AG66" s="626">
        <v>0.526820639486415</v>
      </c>
    </row>
    <row r="67" spans="1:33" x14ac:dyDescent="0.3">
      <c r="A67" s="369" t="s">
        <v>385</v>
      </c>
      <c r="B67" s="370" t="s">
        <v>385</v>
      </c>
      <c r="C67" s="626">
        <v>0.43456113022599602</v>
      </c>
      <c r="D67" s="626">
        <v>0.42714996369768399</v>
      </c>
      <c r="E67" s="626">
        <v>0.42005866675498998</v>
      </c>
      <c r="F67" s="626">
        <v>0.413329124333778</v>
      </c>
      <c r="G67" s="626">
        <v>0.40699525602112802</v>
      </c>
      <c r="H67" s="626">
        <v>0.40092432203867601</v>
      </c>
      <c r="I67" s="626">
        <v>0.394761658662592</v>
      </c>
      <c r="J67" s="626">
        <v>0.38954339039636293</v>
      </c>
      <c r="K67" s="626">
        <v>0.38533176413153408</v>
      </c>
      <c r="L67" s="626">
        <v>0.38219981308731699</v>
      </c>
      <c r="M67" s="626">
        <v>0.38004546633214903</v>
      </c>
      <c r="N67" s="626">
        <v>0.375569581605109</v>
      </c>
      <c r="O67" s="626">
        <v>0.371653558430731</v>
      </c>
      <c r="P67" s="626">
        <v>0.36821528305412005</v>
      </c>
      <c r="Q67" s="626">
        <v>0.36507686489424301</v>
      </c>
      <c r="R67" s="626">
        <v>0.36214012827459002</v>
      </c>
      <c r="S67" s="626">
        <v>0.35939390758699402</v>
      </c>
      <c r="T67" s="626">
        <v>0.35683140478639103</v>
      </c>
      <c r="U67" s="626">
        <v>0.35468084364957803</v>
      </c>
      <c r="V67" s="626">
        <v>0.35322083245047098</v>
      </c>
      <c r="W67" s="626">
        <v>0.35261425575434302</v>
      </c>
      <c r="X67" s="626">
        <v>0.35237046348706808</v>
      </c>
      <c r="Y67" s="626">
        <v>0.352896178668689</v>
      </c>
      <c r="Z67" s="626">
        <v>0.35416485587177798</v>
      </c>
      <c r="AA67" s="626">
        <v>0.35612692293887499</v>
      </c>
      <c r="AB67" s="626">
        <v>0.35873253573319203</v>
      </c>
      <c r="AC67" s="626">
        <v>0.36161551098685302</v>
      </c>
      <c r="AD67" s="626">
        <v>0.36519721792714499</v>
      </c>
      <c r="AE67" s="626">
        <v>0.36932451898308899</v>
      </c>
      <c r="AF67" s="626">
        <v>0.37367690203906101</v>
      </c>
      <c r="AG67" s="626">
        <v>0.37807183222335505</v>
      </c>
    </row>
    <row r="68" spans="1:33" x14ac:dyDescent="0.3">
      <c r="A68" s="369" t="s">
        <v>405</v>
      </c>
      <c r="B68" s="370" t="s">
        <v>405</v>
      </c>
      <c r="C68" s="626">
        <v>0.43582274109129698</v>
      </c>
      <c r="D68" s="626">
        <v>0.43273648993956099</v>
      </c>
      <c r="E68" s="626">
        <v>0.42954845652238904</v>
      </c>
      <c r="F68" s="626">
        <v>0.42651570020359403</v>
      </c>
      <c r="G68" s="626">
        <v>0.42417559084566803</v>
      </c>
      <c r="H68" s="626">
        <v>0.42267882881605801</v>
      </c>
      <c r="I68" s="626">
        <v>0.42196078695517902</v>
      </c>
      <c r="J68" s="626">
        <v>0.42211048108047799</v>
      </c>
      <c r="K68" s="626">
        <v>0.42284346368404202</v>
      </c>
      <c r="L68" s="626">
        <v>0.42379935568083998</v>
      </c>
      <c r="M68" s="626">
        <v>0.42458484050296003</v>
      </c>
      <c r="N68" s="626">
        <v>0.42576683011727001</v>
      </c>
      <c r="O68" s="626">
        <v>0.42660191146742898</v>
      </c>
      <c r="P68" s="626">
        <v>0.426971417413467</v>
      </c>
      <c r="Q68" s="626">
        <v>0.42726351897243497</v>
      </c>
      <c r="R68" s="626">
        <v>0.42808935612300902</v>
      </c>
      <c r="S68" s="626">
        <v>0.42908738502871702</v>
      </c>
      <c r="T68" s="626">
        <v>0.43080410122404106</v>
      </c>
      <c r="U68" s="626">
        <v>0.43279779923367401</v>
      </c>
      <c r="V68" s="626">
        <v>0.43442862544484001</v>
      </c>
      <c r="W68" s="626">
        <v>0.43525469007054601</v>
      </c>
      <c r="X68" s="626">
        <v>0.43537306702112799</v>
      </c>
      <c r="Y68" s="626">
        <v>0.43481053943186704</v>
      </c>
      <c r="Z68" s="626">
        <v>0.43413510909090902</v>
      </c>
      <c r="AA68" s="626">
        <v>0.43437085377958601</v>
      </c>
      <c r="AB68" s="626">
        <v>0.43604648275669</v>
      </c>
      <c r="AC68" s="626">
        <v>0.43898954447582594</v>
      </c>
      <c r="AD68" s="626">
        <v>0.44341959492537703</v>
      </c>
      <c r="AE68" s="626">
        <v>0.44871717316071902</v>
      </c>
      <c r="AF68" s="626">
        <v>0.45394909246599402</v>
      </c>
      <c r="AG68" s="626">
        <v>0.45848883215888203</v>
      </c>
    </row>
    <row r="69" spans="1:33" x14ac:dyDescent="0.3">
      <c r="A69" s="369" t="s">
        <v>187</v>
      </c>
      <c r="B69" s="370" t="s">
        <v>187</v>
      </c>
      <c r="C69" s="626">
        <v>0.60742370426172998</v>
      </c>
      <c r="D69" s="626">
        <v>0.60045113378331105</v>
      </c>
      <c r="E69" s="626">
        <v>0.59375844160194002</v>
      </c>
      <c r="F69" s="626">
        <v>0.58734724251266501</v>
      </c>
      <c r="G69" s="626">
        <v>0.58120082820390295</v>
      </c>
      <c r="H69" s="626">
        <v>0.57527725304559296</v>
      </c>
      <c r="I69" s="626">
        <v>0.56864188246680103</v>
      </c>
      <c r="J69" s="626">
        <v>0.56267581700985703</v>
      </c>
      <c r="K69" s="626">
        <v>0.55746468901342505</v>
      </c>
      <c r="L69" s="626">
        <v>0.55295680866083696</v>
      </c>
      <c r="M69" s="626">
        <v>0.54897842577649303</v>
      </c>
      <c r="N69" s="626">
        <v>0.54329261815571195</v>
      </c>
      <c r="O69" s="626">
        <v>0.538753323070715</v>
      </c>
      <c r="P69" s="626">
        <v>0.53494070840294305</v>
      </c>
      <c r="Q69" s="626">
        <v>0.53229213178359303</v>
      </c>
      <c r="R69" s="626">
        <v>0.53042308253331905</v>
      </c>
      <c r="S69" s="626">
        <v>0.52777726634549205</v>
      </c>
      <c r="T69" s="626">
        <v>0.52498912359801297</v>
      </c>
      <c r="U69" s="626">
        <v>0.52206346129202497</v>
      </c>
      <c r="V69" s="626">
        <v>0.51900073851996797</v>
      </c>
      <c r="W69" s="626">
        <v>0.51578763104736502</v>
      </c>
      <c r="X69" s="626">
        <v>0.51221889180746805</v>
      </c>
      <c r="Y69" s="626">
        <v>0.50846015162053104</v>
      </c>
      <c r="Z69" s="626">
        <v>0.50449428253353801</v>
      </c>
      <c r="AA69" s="626">
        <v>0.50030950273353303</v>
      </c>
      <c r="AB69" s="626">
        <v>0.49592563137300899</v>
      </c>
      <c r="AC69" s="626">
        <v>0.49135486591258198</v>
      </c>
      <c r="AD69" s="626">
        <v>0.486722773141406</v>
      </c>
      <c r="AE69" s="626">
        <v>0.48213782838512698</v>
      </c>
      <c r="AF69" s="626">
        <v>0.477725761543148</v>
      </c>
      <c r="AG69" s="626">
        <v>0.47359148937406198</v>
      </c>
    </row>
    <row r="70" spans="1:33" x14ac:dyDescent="0.3">
      <c r="A70" s="369" t="s">
        <v>67</v>
      </c>
      <c r="B70" s="370" t="s">
        <v>67</v>
      </c>
      <c r="C70" s="626">
        <v>0.73384040767345615</v>
      </c>
      <c r="D70" s="626">
        <v>0.72762671930053502</v>
      </c>
      <c r="E70" s="626">
        <v>0.72133171431805199</v>
      </c>
      <c r="F70" s="626">
        <v>0.71527207339182997</v>
      </c>
      <c r="G70" s="626">
        <v>0.70961578850818396</v>
      </c>
      <c r="H70" s="626">
        <v>0.70437776172436084</v>
      </c>
      <c r="I70" s="626">
        <v>0.69907569796560098</v>
      </c>
      <c r="J70" s="626">
        <v>0.69367414513331516</v>
      </c>
      <c r="K70" s="626">
        <v>0.688374479743178</v>
      </c>
      <c r="L70" s="626">
        <v>0.68343116340976495</v>
      </c>
      <c r="M70" s="626">
        <v>0.67899789467293403</v>
      </c>
      <c r="N70" s="626">
        <v>0.6748156504042061</v>
      </c>
      <c r="O70" s="626">
        <v>0.67093148899176203</v>
      </c>
      <c r="P70" s="626">
        <v>0.66731465714722105</v>
      </c>
      <c r="Q70" s="626">
        <v>0.66375658644854996</v>
      </c>
      <c r="R70" s="626">
        <v>0.66031544692937705</v>
      </c>
      <c r="S70" s="626">
        <v>0.65682425046872905</v>
      </c>
      <c r="T70" s="626">
        <v>0.65332729252882005</v>
      </c>
      <c r="U70" s="626">
        <v>0.64979486953014798</v>
      </c>
      <c r="V70" s="626">
        <v>0.64619296975857499</v>
      </c>
      <c r="W70" s="626">
        <v>0.64251157343407916</v>
      </c>
      <c r="X70" s="626">
        <v>0.63862885980541995</v>
      </c>
      <c r="Y70" s="626">
        <v>0.634567162729201</v>
      </c>
      <c r="Z70" s="626">
        <v>0.63035761167889603</v>
      </c>
      <c r="AA70" s="626">
        <v>0.62601004383648096</v>
      </c>
      <c r="AB70" s="626">
        <v>0.62156495460502004</v>
      </c>
      <c r="AC70" s="626">
        <v>0.61691705285327203</v>
      </c>
      <c r="AD70" s="626">
        <v>0.61208047992182202</v>
      </c>
      <c r="AE70" s="626">
        <v>0.60715809676483901</v>
      </c>
      <c r="AF70" s="626">
        <v>0.60226962067843004</v>
      </c>
      <c r="AG70" s="626">
        <v>0.59750129915890005</v>
      </c>
    </row>
    <row r="71" spans="1:33" x14ac:dyDescent="0.3">
      <c r="A71" s="369" t="s">
        <v>188</v>
      </c>
      <c r="B71" s="370" t="s">
        <v>188</v>
      </c>
      <c r="C71" s="626">
        <v>0.65616227303277597</v>
      </c>
      <c r="D71" s="626">
        <v>0.65573430052970405</v>
      </c>
      <c r="E71" s="626">
        <v>0.65526758503689886</v>
      </c>
      <c r="F71" s="626">
        <v>0.65485679606168801</v>
      </c>
      <c r="G71" s="626">
        <v>0.65460994338908096</v>
      </c>
      <c r="H71" s="626">
        <v>0.65446490404758395</v>
      </c>
      <c r="I71" s="626">
        <v>0.65419726374792508</v>
      </c>
      <c r="J71" s="626">
        <v>0.654253269091429</v>
      </c>
      <c r="K71" s="626">
        <v>0.65467588184340297</v>
      </c>
      <c r="L71" s="626">
        <v>0.65551775470918794</v>
      </c>
      <c r="M71" s="626">
        <v>0.65679458627729903</v>
      </c>
      <c r="N71" s="626">
        <v>0.65896944182636896</v>
      </c>
      <c r="O71" s="626">
        <v>0.66152982206086197</v>
      </c>
      <c r="P71" s="626">
        <v>0.66426472155150795</v>
      </c>
      <c r="Q71" s="626">
        <v>0.66695824796759795</v>
      </c>
      <c r="R71" s="626">
        <v>0.66938491062910199</v>
      </c>
      <c r="S71" s="626">
        <v>0.67202984192977799</v>
      </c>
      <c r="T71" s="626">
        <v>0.67441739250433796</v>
      </c>
      <c r="U71" s="626">
        <v>0.67622819705409798</v>
      </c>
      <c r="V71" s="626">
        <v>0.67703582335172297</v>
      </c>
      <c r="W71" s="626">
        <v>0.67657097860496895</v>
      </c>
      <c r="X71" s="626">
        <v>0.675204655386062</v>
      </c>
      <c r="Y71" s="626">
        <v>0.67256478144552301</v>
      </c>
      <c r="Z71" s="626">
        <v>0.668759063682273</v>
      </c>
      <c r="AA71" s="626">
        <v>0.66403752418151296</v>
      </c>
      <c r="AB71" s="626">
        <v>0.65862023676452697</v>
      </c>
      <c r="AC71" s="626">
        <v>0.65288946454043195</v>
      </c>
      <c r="AD71" s="626">
        <v>0.64647243324285397</v>
      </c>
      <c r="AE71" s="626">
        <v>0.63968729781574096</v>
      </c>
      <c r="AF71" s="626">
        <v>0.63300679870491905</v>
      </c>
      <c r="AG71" s="626">
        <v>0.62676489416495296</v>
      </c>
    </row>
    <row r="72" spans="1:33" x14ac:dyDescent="0.3">
      <c r="A72" s="369" t="s">
        <v>360</v>
      </c>
      <c r="B72" s="370" t="s">
        <v>360</v>
      </c>
      <c r="C72" s="626">
        <v>0.60490117778527097</v>
      </c>
      <c r="D72" s="626">
        <v>0.60139966273534096</v>
      </c>
      <c r="E72" s="626">
        <v>0.59742923032612705</v>
      </c>
      <c r="F72" s="626">
        <v>0.59337436324943604</v>
      </c>
      <c r="G72" s="626">
        <v>0.58964021397723299</v>
      </c>
      <c r="H72" s="626">
        <v>0.58641053260254405</v>
      </c>
      <c r="I72" s="626">
        <v>0.58325546208413104</v>
      </c>
      <c r="J72" s="626">
        <v>0.58043319538657701</v>
      </c>
      <c r="K72" s="626">
        <v>0.57788356367988603</v>
      </c>
      <c r="L72" s="626">
        <v>0.57536695157263895</v>
      </c>
      <c r="M72" s="626">
        <v>0.57269208483922396</v>
      </c>
      <c r="N72" s="626">
        <v>0.56927278180986196</v>
      </c>
      <c r="O72" s="626">
        <v>0.56552926758933397</v>
      </c>
      <c r="P72" s="626">
        <v>0.561814002767132</v>
      </c>
      <c r="Q72" s="626">
        <v>0.55828527233236702</v>
      </c>
      <c r="R72" s="626">
        <v>0.555060290000989</v>
      </c>
      <c r="S72" s="626">
        <v>0.55190077170500196</v>
      </c>
      <c r="T72" s="626">
        <v>0.54901514601468204</v>
      </c>
      <c r="U72" s="626">
        <v>0.54652801595462097</v>
      </c>
      <c r="V72" s="626">
        <v>0.54460647589975697</v>
      </c>
      <c r="W72" s="626">
        <v>0.54332749558537696</v>
      </c>
      <c r="X72" s="626">
        <v>0.542623879423071</v>
      </c>
      <c r="Y72" s="626">
        <v>0.54255939488498806</v>
      </c>
      <c r="Z72" s="626">
        <v>0.54295501528581003</v>
      </c>
      <c r="AA72" s="626">
        <v>0.54350491859056704</v>
      </c>
      <c r="AB72" s="626">
        <v>0.54399356756696504</v>
      </c>
      <c r="AC72" s="626">
        <v>0.54402521755829503</v>
      </c>
      <c r="AD72" s="626">
        <v>0.544000126066709</v>
      </c>
      <c r="AE72" s="626">
        <v>0.54386493074007702</v>
      </c>
      <c r="AF72" s="626">
        <v>0.54354145220043204</v>
      </c>
      <c r="AG72" s="626">
        <v>0.54298643362987498</v>
      </c>
    </row>
    <row r="73" spans="1:33" x14ac:dyDescent="0.3">
      <c r="A73" s="369" t="s">
        <v>33</v>
      </c>
      <c r="B73" s="370" t="s">
        <v>33</v>
      </c>
      <c r="C73" s="626">
        <v>0.61169391639177295</v>
      </c>
      <c r="D73" s="626">
        <v>0.60630028523644597</v>
      </c>
      <c r="E73" s="626">
        <v>0.60077416976131803</v>
      </c>
      <c r="F73" s="626">
        <v>0.595204671967974</v>
      </c>
      <c r="G73" s="626">
        <v>0.58972251169939804</v>
      </c>
      <c r="H73" s="626">
        <v>0.58440351623405995</v>
      </c>
      <c r="I73" s="626">
        <v>0.579255531333978</v>
      </c>
      <c r="J73" s="626">
        <v>0.574293640636935</v>
      </c>
      <c r="K73" s="626">
        <v>0.56943948250763399</v>
      </c>
      <c r="L73" s="626">
        <v>0.56459188996202803</v>
      </c>
      <c r="M73" s="626">
        <v>0.55970702329887301</v>
      </c>
      <c r="N73" s="626">
        <v>0.55467378736899997</v>
      </c>
      <c r="O73" s="626">
        <v>0.54952380643931498</v>
      </c>
      <c r="P73" s="626">
        <v>0.54431411777664396</v>
      </c>
      <c r="Q73" s="626">
        <v>0.53914456041928704</v>
      </c>
      <c r="R73" s="626">
        <v>0.53406284266128701</v>
      </c>
      <c r="S73" s="626">
        <v>0.52943504768696104</v>
      </c>
      <c r="T73" s="626">
        <v>0.52513109216431797</v>
      </c>
      <c r="U73" s="626">
        <v>0.52108712331185603</v>
      </c>
      <c r="V73" s="626">
        <v>0.51723301701917102</v>
      </c>
      <c r="W73" s="626">
        <v>0.51353816179121703</v>
      </c>
      <c r="X73" s="626">
        <v>0.510117339299206</v>
      </c>
      <c r="Y73" s="626">
        <v>0.506893624023939</v>
      </c>
      <c r="Z73" s="626">
        <v>0.50382618600598195</v>
      </c>
      <c r="AA73" s="626">
        <v>0.50087678573384598</v>
      </c>
      <c r="AB73" s="626">
        <v>0.49804244477270898</v>
      </c>
      <c r="AC73" s="626">
        <v>0.49541271430381301</v>
      </c>
      <c r="AD73" s="626">
        <v>0.49292148187680901</v>
      </c>
      <c r="AE73" s="626">
        <v>0.49063369632780002</v>
      </c>
      <c r="AF73" s="626">
        <v>0.488651946072647</v>
      </c>
      <c r="AG73" s="626">
        <v>0.48704112515339693</v>
      </c>
    </row>
    <row r="74" spans="1:33" x14ac:dyDescent="0.3">
      <c r="A74" s="369" t="s">
        <v>348</v>
      </c>
      <c r="B74" s="370" t="s">
        <v>348</v>
      </c>
      <c r="C74" s="626">
        <v>0.57143831801079004</v>
      </c>
      <c r="D74" s="626">
        <v>0.571099467076293</v>
      </c>
      <c r="E74" s="626">
        <v>0.57143810636063197</v>
      </c>
      <c r="F74" s="626">
        <v>0.57220061753038398</v>
      </c>
      <c r="G74" s="626">
        <v>0.57292638511404204</v>
      </c>
      <c r="H74" s="626">
        <v>0.57330379957980004</v>
      </c>
      <c r="I74" s="626">
        <v>0.57294254587464299</v>
      </c>
      <c r="J74" s="626">
        <v>0.57218843131756403</v>
      </c>
      <c r="K74" s="626">
        <v>0.57119506340642801</v>
      </c>
      <c r="L74" s="626">
        <v>0.57004426309012401</v>
      </c>
      <c r="M74" s="626">
        <v>0.56867868774127694</v>
      </c>
      <c r="N74" s="626">
        <v>0.569212518588606</v>
      </c>
      <c r="O74" s="626">
        <v>0.56939634097498404</v>
      </c>
      <c r="P74" s="626">
        <v>0.56916397972674304</v>
      </c>
      <c r="Q74" s="626">
        <v>0.56846162568904801</v>
      </c>
      <c r="R74" s="626">
        <v>0.56724399468854403</v>
      </c>
      <c r="S74" s="626">
        <v>0.56553758010016797</v>
      </c>
      <c r="T74" s="626">
        <v>0.56339901410095605</v>
      </c>
      <c r="U74" s="626">
        <v>0.56079930244562104</v>
      </c>
      <c r="V74" s="626">
        <v>0.55773979345898195</v>
      </c>
      <c r="W74" s="626">
        <v>0.55425011409685498</v>
      </c>
      <c r="X74" s="626">
        <v>0.55037794236557303</v>
      </c>
      <c r="Y74" s="626">
        <v>0.54618799096714199</v>
      </c>
      <c r="Z74" s="626">
        <v>0.54189452624715195</v>
      </c>
      <c r="AA74" s="626">
        <v>0.53782294728915103</v>
      </c>
      <c r="AB74" s="626">
        <v>0.53420480453239505</v>
      </c>
      <c r="AC74" s="626">
        <v>0.53085422598034804</v>
      </c>
      <c r="AD74" s="626">
        <v>0.52821200971108495</v>
      </c>
      <c r="AE74" s="626">
        <v>0.52624699659490204</v>
      </c>
      <c r="AF74" s="626">
        <v>0.52482885406640301</v>
      </c>
      <c r="AG74" s="626">
        <v>0.52388915422376003</v>
      </c>
    </row>
    <row r="75" spans="1:33" x14ac:dyDescent="0.3">
      <c r="A75" s="369" t="s">
        <v>371</v>
      </c>
      <c r="B75" s="370" t="s">
        <v>371</v>
      </c>
      <c r="C75" s="626">
        <v>0.35310392591994799</v>
      </c>
      <c r="D75" s="626">
        <v>0.349961146145357</v>
      </c>
      <c r="E75" s="626">
        <v>0.34781594169365992</v>
      </c>
      <c r="F75" s="626">
        <v>0.34698621303343602</v>
      </c>
      <c r="G75" s="626">
        <v>0.34727686067810493</v>
      </c>
      <c r="H75" s="626">
        <v>0.34849595667334399</v>
      </c>
      <c r="I75" s="626">
        <v>0.34982030072410197</v>
      </c>
      <c r="J75" s="626">
        <v>0.351254657857828</v>
      </c>
      <c r="K75" s="626">
        <v>0.35269173032215201</v>
      </c>
      <c r="L75" s="626">
        <v>0.35424150532876097</v>
      </c>
      <c r="M75" s="626">
        <v>0.35612240586005101</v>
      </c>
      <c r="N75" s="626">
        <v>0.35715813577981598</v>
      </c>
      <c r="O75" s="626">
        <v>0.35890373289545702</v>
      </c>
      <c r="P75" s="626">
        <v>0.36148084651095302</v>
      </c>
      <c r="Q75" s="626">
        <v>0.364884458483755</v>
      </c>
      <c r="R75" s="626">
        <v>0.36916935205183599</v>
      </c>
      <c r="S75" s="626">
        <v>0.37443558689489398</v>
      </c>
      <c r="T75" s="626">
        <v>0.38067596946455501</v>
      </c>
      <c r="U75" s="626">
        <v>0.38748136510211401</v>
      </c>
      <c r="V75" s="626">
        <v>0.39426921121414998</v>
      </c>
      <c r="W75" s="626">
        <v>0.40066315939957098</v>
      </c>
      <c r="X75" s="626">
        <v>0.40673216551429198</v>
      </c>
      <c r="Y75" s="626">
        <v>0.41229524807330298</v>
      </c>
      <c r="Z75" s="626">
        <v>0.41740683289124703</v>
      </c>
      <c r="AA75" s="626">
        <v>0.42221705393606501</v>
      </c>
      <c r="AB75" s="626">
        <v>0.42681480521300402</v>
      </c>
      <c r="AC75" s="626">
        <v>0.43127460273208806</v>
      </c>
      <c r="AD75" s="626">
        <v>0.43545753092408401</v>
      </c>
      <c r="AE75" s="626">
        <v>0.43939720460499099</v>
      </c>
      <c r="AF75" s="626">
        <v>0.44297994094217796</v>
      </c>
      <c r="AG75" s="626">
        <v>0.44625303212094197</v>
      </c>
    </row>
    <row r="76" spans="1:33" x14ac:dyDescent="0.3">
      <c r="A76" s="369" t="s">
        <v>372</v>
      </c>
      <c r="B76" s="370" t="s">
        <v>372</v>
      </c>
      <c r="C76" s="626">
        <v>0.53471486507908605</v>
      </c>
      <c r="D76" s="626">
        <v>0.53679712925037104</v>
      </c>
      <c r="E76" s="626">
        <v>0.53930985440004298</v>
      </c>
      <c r="F76" s="626">
        <v>0.54127470954566803</v>
      </c>
      <c r="G76" s="626">
        <v>0.54235530180209701</v>
      </c>
      <c r="H76" s="626">
        <v>0.54274083402422402</v>
      </c>
      <c r="I76" s="626">
        <v>0.54291894039989996</v>
      </c>
      <c r="J76" s="626">
        <v>0.542816150815982</v>
      </c>
      <c r="K76" s="626">
        <v>0.54148398659278996</v>
      </c>
      <c r="L76" s="626">
        <v>0.53885889263398601</v>
      </c>
      <c r="M76" s="626">
        <v>0.53554156903055805</v>
      </c>
      <c r="N76" s="626">
        <v>0.53422245199558704</v>
      </c>
      <c r="O76" s="626">
        <v>0.533402690684742</v>
      </c>
      <c r="P76" s="626">
        <v>0.53198524704171601</v>
      </c>
      <c r="Q76" s="626">
        <v>0.52965537214982805</v>
      </c>
      <c r="R76" s="626">
        <v>0.52679519898093696</v>
      </c>
      <c r="S76" s="626">
        <v>0.51993178574995302</v>
      </c>
      <c r="T76" s="626">
        <v>0.51362245552999297</v>
      </c>
      <c r="U76" s="626">
        <v>0.50778869612607302</v>
      </c>
      <c r="V76" s="626">
        <v>0.50221558775575803</v>
      </c>
      <c r="W76" s="626">
        <v>0.4968017766792</v>
      </c>
      <c r="X76" s="626">
        <v>0.49199249331017297</v>
      </c>
      <c r="Y76" s="626">
        <v>0.48766083427149398</v>
      </c>
      <c r="Z76" s="626">
        <v>0.48413928447585197</v>
      </c>
      <c r="AA76" s="626">
        <v>0.482032985595441</v>
      </c>
      <c r="AB76" s="626">
        <v>0.48166843518812397</v>
      </c>
      <c r="AC76" s="626">
        <v>0.48327242711280599</v>
      </c>
      <c r="AD76" s="626">
        <v>0.486821083993346</v>
      </c>
      <c r="AE76" s="626">
        <v>0.49172512347381298</v>
      </c>
      <c r="AF76" s="626">
        <v>0.49697983408996099</v>
      </c>
      <c r="AG76" s="626">
        <v>0.50193345261442102</v>
      </c>
    </row>
    <row r="77" spans="1:33" x14ac:dyDescent="0.3">
      <c r="A77" s="369" t="s">
        <v>401</v>
      </c>
      <c r="B77" s="370" t="s">
        <v>401</v>
      </c>
      <c r="C77" s="626">
        <v>0.54447648703292295</v>
      </c>
      <c r="D77" s="626">
        <v>0.53947025943631099</v>
      </c>
      <c r="E77" s="626">
        <v>0.53418236920088702</v>
      </c>
      <c r="F77" s="626">
        <v>0.52872602425270698</v>
      </c>
      <c r="G77" s="626">
        <v>0.52330039769884995</v>
      </c>
      <c r="H77" s="626">
        <v>0.51802595775600702</v>
      </c>
      <c r="I77" s="626">
        <v>0.512863166218964</v>
      </c>
      <c r="J77" s="626">
        <v>0.50789112852585805</v>
      </c>
      <c r="K77" s="626">
        <v>0.50309547714716196</v>
      </c>
      <c r="L77" s="626">
        <v>0.498500720978722</v>
      </c>
      <c r="M77" s="626">
        <v>0.494008638433859</v>
      </c>
      <c r="N77" s="626">
        <v>0.48964497303835097</v>
      </c>
      <c r="O77" s="626">
        <v>0.48544043359611899</v>
      </c>
      <c r="P77" s="626">
        <v>0.48148249632595103</v>
      </c>
      <c r="Q77" s="626">
        <v>0.47779766810454199</v>
      </c>
      <c r="R77" s="626">
        <v>0.47449480289009999</v>
      </c>
      <c r="S77" s="626">
        <v>0.471598374538652</v>
      </c>
      <c r="T77" s="626">
        <v>0.46905277833651804</v>
      </c>
      <c r="U77" s="626">
        <v>0.46703613434885793</v>
      </c>
      <c r="V77" s="626">
        <v>0.465547074296491</v>
      </c>
      <c r="W77" s="626">
        <v>0.46467843684405502</v>
      </c>
      <c r="X77" s="626">
        <v>0.46434820295983104</v>
      </c>
      <c r="Y77" s="626">
        <v>0.46459731869316895</v>
      </c>
      <c r="Z77" s="626">
        <v>0.46543288984543102</v>
      </c>
      <c r="AA77" s="626">
        <v>0.46670041477577695</v>
      </c>
      <c r="AB77" s="626">
        <v>0.46838321336510902</v>
      </c>
      <c r="AC77" s="626">
        <v>0.47039823231711803</v>
      </c>
      <c r="AD77" s="626">
        <v>0.47273513793518901</v>
      </c>
      <c r="AE77" s="626">
        <v>0.47536284954352692</v>
      </c>
      <c r="AF77" s="626">
        <v>0.47829975212717796</v>
      </c>
      <c r="AG77" s="626">
        <v>0.48142366211215498</v>
      </c>
    </row>
    <row r="78" spans="1:33" x14ac:dyDescent="0.3">
      <c r="A78" s="369" t="s">
        <v>190</v>
      </c>
      <c r="B78" s="370" t="s">
        <v>190</v>
      </c>
      <c r="C78" s="626">
        <v>0.606278321408803</v>
      </c>
      <c r="D78" s="626">
        <v>0.60613125792730604</v>
      </c>
      <c r="E78" s="626">
        <v>0.60628087042899503</v>
      </c>
      <c r="F78" s="626">
        <v>0.60547713715256202</v>
      </c>
      <c r="G78" s="626">
        <v>0.60431630189670504</v>
      </c>
      <c r="H78" s="626">
        <v>0.60268596713438105</v>
      </c>
      <c r="I78" s="626">
        <v>0.60106315020280399</v>
      </c>
      <c r="J78" s="626">
        <v>0.59918531148495002</v>
      </c>
      <c r="K78" s="626">
        <v>0.597174844626849</v>
      </c>
      <c r="L78" s="626">
        <v>0.59522371616036795</v>
      </c>
      <c r="M78" s="626">
        <v>0.59344137930662499</v>
      </c>
      <c r="N78" s="626">
        <v>0.59189816141342499</v>
      </c>
      <c r="O78" s="626">
        <v>0.59052815755149701</v>
      </c>
      <c r="P78" s="626">
        <v>0.58926309485762496</v>
      </c>
      <c r="Q78" s="626">
        <v>0.58800971296898197</v>
      </c>
      <c r="R78" s="626">
        <v>0.586721543872192</v>
      </c>
      <c r="S78" s="626">
        <v>0.58517604747722696</v>
      </c>
      <c r="T78" s="626">
        <v>0.58351540389964096</v>
      </c>
      <c r="U78" s="626">
        <v>0.58185220291272</v>
      </c>
      <c r="V78" s="626">
        <v>0.58035507491330296</v>
      </c>
      <c r="W78" s="626">
        <v>0.57910999344416303</v>
      </c>
      <c r="X78" s="626">
        <v>0.57812116037024597</v>
      </c>
      <c r="Y78" s="626">
        <v>0.57736116115189395</v>
      </c>
      <c r="Z78" s="626">
        <v>0.57668842683952504</v>
      </c>
      <c r="AA78" s="626">
        <v>0.57590145045540198</v>
      </c>
      <c r="AB78" s="626">
        <v>0.57488855167742703</v>
      </c>
      <c r="AC78" s="626">
        <v>0.57373217402290999</v>
      </c>
      <c r="AD78" s="626">
        <v>0.57242366122005395</v>
      </c>
      <c r="AE78" s="626">
        <v>0.57097004975040799</v>
      </c>
      <c r="AF78" s="626">
        <v>0.56938762349568495</v>
      </c>
      <c r="AG78" s="626">
        <v>0.56768825997349204</v>
      </c>
    </row>
    <row r="79" spans="1:33" x14ac:dyDescent="0.3">
      <c r="A79" s="369" t="s">
        <v>68</v>
      </c>
      <c r="B79" s="370" t="s">
        <v>68</v>
      </c>
      <c r="C79" s="626">
        <v>0.79682469911000597</v>
      </c>
      <c r="D79" s="626">
        <v>0.79034165130115097</v>
      </c>
      <c r="E79" s="626">
        <v>0.78350237502801401</v>
      </c>
      <c r="F79" s="626">
        <v>0.7763486551866321</v>
      </c>
      <c r="G79" s="626">
        <v>0.76900991130145202</v>
      </c>
      <c r="H79" s="626">
        <v>0.76160951938689114</v>
      </c>
      <c r="I79" s="626">
        <v>0.75565617690688891</v>
      </c>
      <c r="J79" s="626">
        <v>0.74966840096309695</v>
      </c>
      <c r="K79" s="626">
        <v>0.74357630238358496</v>
      </c>
      <c r="L79" s="626">
        <v>0.73737890289706398</v>
      </c>
      <c r="M79" s="626">
        <v>0.731111358515529</v>
      </c>
      <c r="N79" s="626">
        <v>0.72563685797245914</v>
      </c>
      <c r="O79" s="626">
        <v>0.72012938112708691</v>
      </c>
      <c r="P79" s="626">
        <v>0.713599798978378</v>
      </c>
      <c r="Q79" s="626">
        <v>0.70683664803255997</v>
      </c>
      <c r="R79" s="626">
        <v>0.69990351926283489</v>
      </c>
      <c r="S79" s="626">
        <v>0.69314650403164402</v>
      </c>
      <c r="T79" s="626">
        <v>0.68651531754182205</v>
      </c>
      <c r="U79" s="626">
        <v>0.68000256788616897</v>
      </c>
      <c r="V79" s="626">
        <v>0.67361268424684095</v>
      </c>
      <c r="W79" s="626">
        <v>0.66735663671624612</v>
      </c>
      <c r="X79" s="626">
        <v>0.66132645359321895</v>
      </c>
      <c r="Y79" s="626">
        <v>0.65543288918888587</v>
      </c>
      <c r="Z79" s="626">
        <v>0.64965508126328997</v>
      </c>
      <c r="AA79" s="626">
        <v>0.64397451031156205</v>
      </c>
      <c r="AB79" s="626">
        <v>0.63838482007870201</v>
      </c>
      <c r="AC79" s="626">
        <v>0.63295170484002705</v>
      </c>
      <c r="AD79" s="626">
        <v>0.62761684391509098</v>
      </c>
      <c r="AE79" s="626">
        <v>0.62233169544154199</v>
      </c>
      <c r="AF79" s="626">
        <v>0.61703970935404395</v>
      </c>
      <c r="AG79" s="626">
        <v>0.61171509099138199</v>
      </c>
    </row>
    <row r="80" spans="1:33" x14ac:dyDescent="0.3">
      <c r="A80" s="369" t="s">
        <v>69</v>
      </c>
      <c r="B80" s="370" t="s">
        <v>69</v>
      </c>
      <c r="C80" s="626">
        <v>0.67749209133059596</v>
      </c>
      <c r="D80" s="626">
        <v>0.67024852288519299</v>
      </c>
      <c r="E80" s="626">
        <v>0.66317823017947508</v>
      </c>
      <c r="F80" s="626">
        <v>0.65626241166987698</v>
      </c>
      <c r="G80" s="626">
        <v>0.64949584855160192</v>
      </c>
      <c r="H80" s="626">
        <v>0.64292737167357605</v>
      </c>
      <c r="I80" s="626">
        <v>0.63690994073348695</v>
      </c>
      <c r="J80" s="626">
        <v>0.62543409418829499</v>
      </c>
      <c r="K80" s="626">
        <v>0.61424715861837997</v>
      </c>
      <c r="L80" s="626">
        <v>0.60338125353328398</v>
      </c>
      <c r="M80" s="626">
        <v>0.59282476344581503</v>
      </c>
      <c r="N80" s="626">
        <v>0.58261635532410105</v>
      </c>
      <c r="O80" s="626">
        <v>0.57264243522423197</v>
      </c>
      <c r="P80" s="626">
        <v>0.56282243850767999</v>
      </c>
      <c r="Q80" s="626">
        <v>0.55305062257554705</v>
      </c>
      <c r="R80" s="626">
        <v>0.54358096756771901</v>
      </c>
      <c r="S80" s="626">
        <v>0.53465630382718199</v>
      </c>
      <c r="T80" s="626">
        <v>0.52626986709476298</v>
      </c>
      <c r="U80" s="626">
        <v>0.51832222515510296</v>
      </c>
      <c r="V80" s="626">
        <v>0.51067727521426098</v>
      </c>
      <c r="W80" s="626">
        <v>0.50326723170615195</v>
      </c>
      <c r="X80" s="626">
        <v>0.49613713979375196</v>
      </c>
      <c r="Y80" s="626">
        <v>0.48925979516058199</v>
      </c>
      <c r="Z80" s="626">
        <v>0.48269801330463402</v>
      </c>
      <c r="AA80" s="626">
        <v>0.47654490706265401</v>
      </c>
      <c r="AB80" s="626">
        <v>0.47085545663702694</v>
      </c>
      <c r="AC80" s="626">
        <v>0.465645359349312</v>
      </c>
      <c r="AD80" s="626">
        <v>0.46088855799135198</v>
      </c>
      <c r="AE80" s="626">
        <v>0.45662325508447899</v>
      </c>
      <c r="AF80" s="626">
        <v>0.45289778474325604</v>
      </c>
      <c r="AG80" s="626">
        <v>0.44975256466112901</v>
      </c>
    </row>
    <row r="81" spans="1:33" x14ac:dyDescent="0.3">
      <c r="A81" s="369" t="s">
        <v>192</v>
      </c>
      <c r="B81" s="370" t="s">
        <v>192</v>
      </c>
      <c r="C81" s="626">
        <v>0.59242648910288898</v>
      </c>
      <c r="D81" s="626">
        <v>0.59657298624653599</v>
      </c>
      <c r="E81" s="626">
        <v>0.59985783986438701</v>
      </c>
      <c r="F81" s="626">
        <v>0.60169928404472595</v>
      </c>
      <c r="G81" s="626">
        <v>0.60144727977415202</v>
      </c>
      <c r="H81" s="626">
        <v>0.59875189669476803</v>
      </c>
      <c r="I81" s="626">
        <v>0.59521897322376505</v>
      </c>
      <c r="J81" s="626">
        <v>0.59104294713633299</v>
      </c>
      <c r="K81" s="626">
        <v>0.58669881601923402</v>
      </c>
      <c r="L81" s="626">
        <v>0.58314921326703895</v>
      </c>
      <c r="M81" s="626">
        <v>0.58089216235766605</v>
      </c>
      <c r="N81" s="626">
        <v>0.57907802125368601</v>
      </c>
      <c r="O81" s="626">
        <v>0.57773391767107596</v>
      </c>
      <c r="P81" s="626">
        <v>0.57668806536753003</v>
      </c>
      <c r="Q81" s="626">
        <v>0.57572448882572502</v>
      </c>
      <c r="R81" s="626">
        <v>0.57470613197167297</v>
      </c>
      <c r="S81" s="626">
        <v>0.57497504687429701</v>
      </c>
      <c r="T81" s="626">
        <v>0.57547416364771997</v>
      </c>
      <c r="U81" s="626">
        <v>0.57611426194865301</v>
      </c>
      <c r="V81" s="626">
        <v>0.57686016165415399</v>
      </c>
      <c r="W81" s="626">
        <v>0.57766859145108795</v>
      </c>
      <c r="X81" s="626">
        <v>0.579570756603072</v>
      </c>
      <c r="Y81" s="626">
        <v>0.581750543026332</v>
      </c>
      <c r="Z81" s="626">
        <v>0.58380408602259404</v>
      </c>
      <c r="AA81" s="626">
        <v>0.585187611968357</v>
      </c>
      <c r="AB81" s="626">
        <v>0.58554845914832898</v>
      </c>
      <c r="AC81" s="626">
        <v>0.58570641866099304</v>
      </c>
      <c r="AD81" s="626">
        <v>0.58503331420066895</v>
      </c>
      <c r="AE81" s="626">
        <v>0.58365064892959495</v>
      </c>
      <c r="AF81" s="626">
        <v>0.58183975448775005</v>
      </c>
      <c r="AG81" s="626">
        <v>0.57978646496654596</v>
      </c>
    </row>
    <row r="82" spans="1:33" x14ac:dyDescent="0.3">
      <c r="A82" s="369" t="s">
        <v>70</v>
      </c>
      <c r="B82" s="370" t="s">
        <v>70</v>
      </c>
      <c r="C82" s="626">
        <v>0.58032680423038996</v>
      </c>
      <c r="D82" s="626">
        <v>0.58289271999192505</v>
      </c>
      <c r="E82" s="626">
        <v>0.58619605852231804</v>
      </c>
      <c r="F82" s="626">
        <v>0.59009680565823897</v>
      </c>
      <c r="G82" s="626">
        <v>0.59435956755207897</v>
      </c>
      <c r="H82" s="626">
        <v>0.59881018981297196</v>
      </c>
      <c r="I82" s="626">
        <v>0.60369377900129895</v>
      </c>
      <c r="J82" s="626">
        <v>0.59793859696377805</v>
      </c>
      <c r="K82" s="626">
        <v>0.59227131516174103</v>
      </c>
      <c r="L82" s="626">
        <v>0.58659746601873997</v>
      </c>
      <c r="M82" s="626">
        <v>0.58085386334759703</v>
      </c>
      <c r="N82" s="626">
        <v>0.57527281590179502</v>
      </c>
      <c r="O82" s="626">
        <v>0.56960586173990602</v>
      </c>
      <c r="P82" s="626">
        <v>0.56389356483548703</v>
      </c>
      <c r="Q82" s="626">
        <v>0.55817917853730703</v>
      </c>
      <c r="R82" s="626">
        <v>0.552477420020976</v>
      </c>
      <c r="S82" s="626">
        <v>0.54702770305083803</v>
      </c>
      <c r="T82" s="626">
        <v>0.54154325278350302</v>
      </c>
      <c r="U82" s="626">
        <v>0.536538660541513</v>
      </c>
      <c r="V82" s="626">
        <v>0.53194781035698602</v>
      </c>
      <c r="W82" s="626">
        <v>0.52775974723599595</v>
      </c>
      <c r="X82" s="626">
        <v>0.52461515355851795</v>
      </c>
      <c r="Y82" s="626">
        <v>0.52182698368266101</v>
      </c>
      <c r="Z82" s="626">
        <v>0.51930128863482194</v>
      </c>
      <c r="AA82" s="626">
        <v>0.51692236059107599</v>
      </c>
      <c r="AB82" s="626">
        <v>0.51460717402197598</v>
      </c>
      <c r="AC82" s="626">
        <v>0.51265220205224304</v>
      </c>
      <c r="AD82" s="626">
        <v>0.510798263810752</v>
      </c>
      <c r="AE82" s="626">
        <v>0.50903976670447904</v>
      </c>
      <c r="AF82" s="626">
        <v>0.50740191936622703</v>
      </c>
      <c r="AG82" s="626">
        <v>0.50590041136345298</v>
      </c>
    </row>
    <row r="83" spans="1:33" x14ac:dyDescent="0.3">
      <c r="A83" s="369" t="s">
        <v>71</v>
      </c>
      <c r="B83" s="370" t="s">
        <v>71</v>
      </c>
      <c r="C83" s="626">
        <v>0.57268034653871103</v>
      </c>
      <c r="D83" s="626">
        <v>0.572382972400033</v>
      </c>
      <c r="E83" s="626">
        <v>0.57215033073896504</v>
      </c>
      <c r="F83" s="626">
        <v>0.571947950972436</v>
      </c>
      <c r="G83" s="626">
        <v>0.57173479424319995</v>
      </c>
      <c r="H83" s="626">
        <v>0.57148338569048696</v>
      </c>
      <c r="I83" s="626">
        <v>0.57130705007777105</v>
      </c>
      <c r="J83" s="626">
        <v>0.57112328230382203</v>
      </c>
      <c r="K83" s="626">
        <v>0.57086869217353897</v>
      </c>
      <c r="L83" s="626">
        <v>0.57045839010084498</v>
      </c>
      <c r="M83" s="626">
        <v>0.56986595830463205</v>
      </c>
      <c r="N83" s="626">
        <v>0.56918457419947399</v>
      </c>
      <c r="O83" s="626">
        <v>0.56823915480535803</v>
      </c>
      <c r="P83" s="626">
        <v>0.567211729040765</v>
      </c>
      <c r="Q83" s="626">
        <v>0.56631581375414997</v>
      </c>
      <c r="R83" s="626">
        <v>0.56567026920135299</v>
      </c>
      <c r="S83" s="626">
        <v>0.565301814474513</v>
      </c>
      <c r="T83" s="626">
        <v>0.565139998602191</v>
      </c>
      <c r="U83" s="626">
        <v>0.56513754058152899</v>
      </c>
      <c r="V83" s="626">
        <v>0.56522571698581403</v>
      </c>
      <c r="W83" s="626">
        <v>0.56536410904616197</v>
      </c>
      <c r="X83" s="626">
        <v>0.56560936198134004</v>
      </c>
      <c r="Y83" s="626">
        <v>0.56592517636764195</v>
      </c>
      <c r="Z83" s="626">
        <v>0.56628874490527004</v>
      </c>
      <c r="AA83" s="626">
        <v>0.56667544206958798</v>
      </c>
      <c r="AB83" s="626">
        <v>0.56706364938407205</v>
      </c>
      <c r="AC83" s="626">
        <v>0.567478624994051</v>
      </c>
      <c r="AD83" s="626">
        <v>0.56791408699708701</v>
      </c>
      <c r="AE83" s="626">
        <v>0.56829270083476302</v>
      </c>
      <c r="AF83" s="626">
        <v>0.56850091407304204</v>
      </c>
      <c r="AG83" s="626">
        <v>0.56846864223496396</v>
      </c>
    </row>
    <row r="84" spans="1:33" x14ac:dyDescent="0.3">
      <c r="A84" s="369" t="s">
        <v>328</v>
      </c>
      <c r="B84" s="370" t="s">
        <v>328</v>
      </c>
      <c r="C84" s="626">
        <v>0.56709931740894304</v>
      </c>
      <c r="D84" s="626">
        <v>0.55992163592621003</v>
      </c>
      <c r="E84" s="626">
        <v>0.55223168693289204</v>
      </c>
      <c r="F84" s="626">
        <v>0.54425779782066896</v>
      </c>
      <c r="G84" s="626">
        <v>0.53635545887607805</v>
      </c>
      <c r="H84" s="626">
        <v>0.52874553629467402</v>
      </c>
      <c r="I84" s="626">
        <v>0.52218967119985504</v>
      </c>
      <c r="J84" s="626">
        <v>0.51532361420241102</v>
      </c>
      <c r="K84" s="626">
        <v>0.50823492022459704</v>
      </c>
      <c r="L84" s="626">
        <v>0.50126910451361695</v>
      </c>
      <c r="M84" s="626">
        <v>0.49472127357514106</v>
      </c>
      <c r="N84" s="626">
        <v>0.49774802241813298</v>
      </c>
      <c r="O84" s="626">
        <v>0.50143429379044702</v>
      </c>
      <c r="P84" s="626">
        <v>0.50545061394107604</v>
      </c>
      <c r="Q84" s="626">
        <v>0.50930319831350601</v>
      </c>
      <c r="R84" s="626">
        <v>0.51269013856896195</v>
      </c>
      <c r="S84" s="626">
        <v>0.51556433643032995</v>
      </c>
      <c r="T84" s="626">
        <v>0.51805485917713401</v>
      </c>
      <c r="U84" s="626">
        <v>0.52014309216342203</v>
      </c>
      <c r="V84" s="626">
        <v>0.52184749079888604</v>
      </c>
      <c r="W84" s="626">
        <v>0.523260011343888</v>
      </c>
      <c r="X84" s="626">
        <v>0.52424362686020498</v>
      </c>
      <c r="Y84" s="626">
        <v>0.52492437100280498</v>
      </c>
      <c r="Z84" s="626">
        <v>0.52538318366625902</v>
      </c>
      <c r="AA84" s="626">
        <v>0.52572555169283297</v>
      </c>
      <c r="AB84" s="626">
        <v>0.52602364547241298</v>
      </c>
      <c r="AC84" s="626">
        <v>0.52612619592131504</v>
      </c>
      <c r="AD84" s="626">
        <v>0.52616422875837998</v>
      </c>
      <c r="AE84" s="626">
        <v>0.52620264561260499</v>
      </c>
      <c r="AF84" s="626">
        <v>0.52632794401999805</v>
      </c>
      <c r="AG84" s="626">
        <v>0.52661087293025999</v>
      </c>
    </row>
    <row r="85" spans="1:33" x14ac:dyDescent="0.3">
      <c r="A85" s="369" t="s">
        <v>338</v>
      </c>
      <c r="B85" s="370" t="s">
        <v>338</v>
      </c>
      <c r="C85" s="626">
        <v>0.53578597707576203</v>
      </c>
      <c r="D85" s="626">
        <v>0.53193150211134599</v>
      </c>
      <c r="E85" s="626">
        <v>0.52825801999113997</v>
      </c>
      <c r="F85" s="626">
        <v>0.52442671629217397</v>
      </c>
      <c r="G85" s="626">
        <v>0.51999796036254098</v>
      </c>
      <c r="H85" s="626">
        <v>0.51475513496530201</v>
      </c>
      <c r="I85" s="626">
        <v>0.507354378302599</v>
      </c>
      <c r="J85" s="626">
        <v>0.49988335169137299</v>
      </c>
      <c r="K85" s="626">
        <v>0.49280112203978699</v>
      </c>
      <c r="L85" s="626">
        <v>0.48653432589556206</v>
      </c>
      <c r="M85" s="626">
        <v>0.48122984702998101</v>
      </c>
      <c r="N85" s="626">
        <v>0.47607890916975998</v>
      </c>
      <c r="O85" s="626">
        <v>0.471101203572387</v>
      </c>
      <c r="P85" s="626">
        <v>0.466452600066668</v>
      </c>
      <c r="Q85" s="626">
        <v>0.46241019985329501</v>
      </c>
      <c r="R85" s="626">
        <v>0.45890858967741899</v>
      </c>
      <c r="S85" s="626">
        <v>0.45659792927273002</v>
      </c>
      <c r="T85" s="626">
        <v>0.45489560337607104</v>
      </c>
      <c r="U85" s="626">
        <v>0.453646963208724</v>
      </c>
      <c r="V85" s="626">
        <v>0.45255145466673502</v>
      </c>
      <c r="W85" s="626">
        <v>0.45145480952563799</v>
      </c>
      <c r="X85" s="626">
        <v>0.45020947046453796</v>
      </c>
      <c r="Y85" s="626">
        <v>0.44896122073238898</v>
      </c>
      <c r="Z85" s="626">
        <v>0.44779068972934705</v>
      </c>
      <c r="AA85" s="626">
        <v>0.44683577029752902</v>
      </c>
      <c r="AB85" s="626">
        <v>0.446233362645093</v>
      </c>
      <c r="AC85" s="626">
        <v>0.44579062378680301</v>
      </c>
      <c r="AD85" s="626">
        <v>0.44560818244212902</v>
      </c>
      <c r="AE85" s="626">
        <v>0.44586048307856901</v>
      </c>
      <c r="AF85" s="626">
        <v>0.44670899996276398</v>
      </c>
      <c r="AG85" s="626">
        <v>0.44828518978074994</v>
      </c>
    </row>
    <row r="86" spans="1:33" x14ac:dyDescent="0.3">
      <c r="A86" s="370" t="s">
        <v>34</v>
      </c>
      <c r="B86" s="370" t="s">
        <v>34</v>
      </c>
      <c r="C86" s="626">
        <v>0.75790373740405603</v>
      </c>
      <c r="D86" s="626">
        <v>0.75588205215377902</v>
      </c>
      <c r="E86" s="626">
        <v>0.75402528861235896</v>
      </c>
      <c r="F86" s="626">
        <v>0.75233754568802391</v>
      </c>
      <c r="G86" s="626">
        <v>0.75083487652338088</v>
      </c>
      <c r="H86" s="626">
        <v>0.749527585350521</v>
      </c>
      <c r="I86" s="626">
        <v>0.74849005706581795</v>
      </c>
      <c r="J86" s="626">
        <v>0.74740938494602205</v>
      </c>
      <c r="K86" s="626">
        <v>0.74644030736848999</v>
      </c>
      <c r="L86" s="626">
        <v>0.74546282083381399</v>
      </c>
      <c r="M86" s="626">
        <v>0.74440775920855695</v>
      </c>
      <c r="N86" s="626">
        <v>0.74332088871037816</v>
      </c>
      <c r="O86" s="626">
        <v>0.74218668993238301</v>
      </c>
      <c r="P86" s="626">
        <v>0.74101173671466891</v>
      </c>
      <c r="Q86" s="626">
        <v>0.739822054610762</v>
      </c>
      <c r="R86" s="626">
        <v>0.73863640863306801</v>
      </c>
      <c r="S86" s="626">
        <v>0.73749476885073983</v>
      </c>
      <c r="T86" s="626">
        <v>0.736364051322563</v>
      </c>
      <c r="U86" s="626">
        <v>0.73509193142178797</v>
      </c>
      <c r="V86" s="626">
        <v>0.73364920010287604</v>
      </c>
      <c r="W86" s="626">
        <v>0.732030247414303</v>
      </c>
      <c r="X86" s="626">
        <v>0.73024348462160305</v>
      </c>
      <c r="Y86" s="626">
        <v>0.72824468546350607</v>
      </c>
      <c r="Z86" s="626">
        <v>0.72615431213806203</v>
      </c>
      <c r="AA86" s="626">
        <v>0.72416898724789303</v>
      </c>
      <c r="AB86" s="626">
        <v>0.72239085399405201</v>
      </c>
      <c r="AC86" s="626">
        <v>0.72078236406708596</v>
      </c>
      <c r="AD86" s="626">
        <v>0.71935356613051904</v>
      </c>
      <c r="AE86" s="626">
        <v>0.71788754727527704</v>
      </c>
      <c r="AF86" s="626">
        <v>0.71606900763739001</v>
      </c>
      <c r="AG86" s="626">
        <v>0.71370147902409597</v>
      </c>
    </row>
    <row r="87" spans="1:33" x14ac:dyDescent="0.3">
      <c r="A87" s="369" t="s">
        <v>35</v>
      </c>
      <c r="B87" s="370" t="s">
        <v>35</v>
      </c>
      <c r="C87" s="626">
        <v>0.69356430318370599</v>
      </c>
      <c r="D87" s="626">
        <v>0.696225697215484</v>
      </c>
      <c r="E87" s="626">
        <v>0.698887551867719</v>
      </c>
      <c r="F87" s="626">
        <v>0.70122871943148302</v>
      </c>
      <c r="G87" s="626">
        <v>0.70195182519851496</v>
      </c>
      <c r="H87" s="626">
        <v>0.70218914816941902</v>
      </c>
      <c r="I87" s="626">
        <v>0.70422972346810597</v>
      </c>
      <c r="J87" s="626">
        <v>0.70656990109380202</v>
      </c>
      <c r="K87" s="626">
        <v>0.70895813167418797</v>
      </c>
      <c r="L87" s="626">
        <v>0.71114600386323401</v>
      </c>
      <c r="M87" s="626">
        <v>0.71290111103103204</v>
      </c>
      <c r="N87" s="626">
        <v>0.712609244926245</v>
      </c>
      <c r="O87" s="626">
        <v>0.71179734679656503</v>
      </c>
      <c r="P87" s="626">
        <v>0.71061269905118096</v>
      </c>
      <c r="Q87" s="626">
        <v>0.70928889302488796</v>
      </c>
      <c r="R87" s="626">
        <v>0.70797952796589703</v>
      </c>
      <c r="S87" s="626">
        <v>0.70670700564185096</v>
      </c>
      <c r="T87" s="626">
        <v>0.7054087655292931</v>
      </c>
      <c r="U87" s="626">
        <v>0.704110799526663</v>
      </c>
      <c r="V87" s="626">
        <v>0.70282446430690593</v>
      </c>
      <c r="W87" s="626">
        <v>0.70161273368683097</v>
      </c>
      <c r="X87" s="626">
        <v>0.70053962549118198</v>
      </c>
      <c r="Y87" s="626">
        <v>0.69964200629233309</v>
      </c>
      <c r="Z87" s="626">
        <v>0.69867611790600204</v>
      </c>
      <c r="AA87" s="626">
        <v>0.69726459694014797</v>
      </c>
      <c r="AB87" s="626">
        <v>0.69518635998456901</v>
      </c>
      <c r="AC87" s="626">
        <v>0.69254036864448598</v>
      </c>
      <c r="AD87" s="626">
        <v>0.68929645661698602</v>
      </c>
      <c r="AE87" s="626">
        <v>0.68563979536711595</v>
      </c>
      <c r="AF87" s="626">
        <v>0.68186317169661403</v>
      </c>
      <c r="AG87" s="626">
        <v>0.67813708189472199</v>
      </c>
    </row>
    <row r="88" spans="1:33" x14ac:dyDescent="0.3">
      <c r="A88" s="370" t="s">
        <v>721</v>
      </c>
      <c r="B88" s="370" t="s">
        <v>721</v>
      </c>
      <c r="C88" s="626">
        <v>0.64619914175087501</v>
      </c>
      <c r="D88" s="626">
        <v>0.64156279436211305</v>
      </c>
      <c r="E88" s="626">
        <v>0.63776537234287101</v>
      </c>
      <c r="F88" s="626">
        <v>0.635094587059988</v>
      </c>
      <c r="G88" s="626">
        <v>0.63379322529339599</v>
      </c>
      <c r="H88" s="626">
        <v>0.63384958889565801</v>
      </c>
      <c r="I88" s="626">
        <v>0.63455282214612596</v>
      </c>
      <c r="J88" s="626">
        <v>0.64234249755164496</v>
      </c>
      <c r="K88" s="626">
        <v>0.65069506935346599</v>
      </c>
      <c r="L88" s="626">
        <v>0.65914697558387003</v>
      </c>
      <c r="M88" s="626">
        <v>0.66734534755335484</v>
      </c>
      <c r="N88" s="626">
        <v>0.67559622663271002</v>
      </c>
      <c r="O88" s="626">
        <v>0.68358658772006498</v>
      </c>
      <c r="P88" s="626">
        <v>0.69099245231967898</v>
      </c>
      <c r="Q88" s="626">
        <v>0.69746896270227599</v>
      </c>
      <c r="R88" s="626">
        <v>0.70282704134654705</v>
      </c>
      <c r="S88" s="626">
        <v>0.70685960952548499</v>
      </c>
      <c r="T88" s="626">
        <v>0.70933288767818192</v>
      </c>
      <c r="U88" s="626">
        <v>0.71052436700062305</v>
      </c>
      <c r="V88" s="626">
        <v>0.71061777502064405</v>
      </c>
      <c r="W88" s="626">
        <v>0.70977002308692105</v>
      </c>
      <c r="X88" s="626">
        <v>0.70805246072225003</v>
      </c>
      <c r="Y88" s="626">
        <v>0.70550255258608896</v>
      </c>
      <c r="Z88" s="626">
        <v>0.70226224062908404</v>
      </c>
      <c r="AA88" s="626">
        <v>0.69849797170522099</v>
      </c>
      <c r="AB88" s="626">
        <v>0.69431830904243597</v>
      </c>
      <c r="AC88" s="626">
        <v>0.68981319424667797</v>
      </c>
      <c r="AD88" s="626">
        <v>0.6850492358228919</v>
      </c>
      <c r="AE88" s="626">
        <v>0.67989307477766203</v>
      </c>
      <c r="AF88" s="626">
        <v>0.67410454330301495</v>
      </c>
      <c r="AG88" s="626">
        <v>0.667552151767563</v>
      </c>
    </row>
    <row r="89" spans="1:33" x14ac:dyDescent="0.3">
      <c r="A89" s="369" t="s">
        <v>72</v>
      </c>
      <c r="B89" s="370" t="s">
        <v>72</v>
      </c>
      <c r="C89" s="626">
        <v>0.60771847355544395</v>
      </c>
      <c r="D89" s="626">
        <v>0.60590323205767305</v>
      </c>
      <c r="E89" s="626">
        <v>0.60362414053737201</v>
      </c>
      <c r="F89" s="626">
        <v>0.60105957025523704</v>
      </c>
      <c r="G89" s="626">
        <v>0.59850049893498103</v>
      </c>
      <c r="H89" s="626">
        <v>0.59611527003446596</v>
      </c>
      <c r="I89" s="626">
        <v>0.59409213886962098</v>
      </c>
      <c r="J89" s="626">
        <v>0.59887669380743502</v>
      </c>
      <c r="K89" s="626">
        <v>0.60321359714689304</v>
      </c>
      <c r="L89" s="626">
        <v>0.60689804280958504</v>
      </c>
      <c r="M89" s="626">
        <v>0.60987694345918997</v>
      </c>
      <c r="N89" s="626">
        <v>0.61337856008620895</v>
      </c>
      <c r="O89" s="626">
        <v>0.61721616651672395</v>
      </c>
      <c r="P89" s="626">
        <v>0.62147690439203396</v>
      </c>
      <c r="Q89" s="626">
        <v>0.62621630386910598</v>
      </c>
      <c r="R89" s="626">
        <v>0.63141126917560297</v>
      </c>
      <c r="S89" s="626">
        <v>0.635890486587533</v>
      </c>
      <c r="T89" s="626">
        <v>0.64038738242071203</v>
      </c>
      <c r="U89" s="626">
        <v>0.644909227634343</v>
      </c>
      <c r="V89" s="626">
        <v>0.64885366596354999</v>
      </c>
      <c r="W89" s="626">
        <v>0.65228950999993496</v>
      </c>
      <c r="X89" s="626">
        <v>0.6551839385754189</v>
      </c>
      <c r="Y89" s="626">
        <v>0.65772259622085594</v>
      </c>
      <c r="Z89" s="626">
        <v>0.65974879540035902</v>
      </c>
      <c r="AA89" s="626">
        <v>0.66101672022313696</v>
      </c>
      <c r="AB89" s="626">
        <v>0.66140615090993804</v>
      </c>
      <c r="AC89" s="626">
        <v>0.66079915225858699</v>
      </c>
      <c r="AD89" s="626">
        <v>0.65928760446298695</v>
      </c>
      <c r="AE89" s="626">
        <v>0.65719714037087795</v>
      </c>
      <c r="AF89" s="626">
        <v>0.65499925864755193</v>
      </c>
      <c r="AG89" s="626">
        <v>0.652954313782933</v>
      </c>
    </row>
    <row r="90" spans="1:33" x14ac:dyDescent="0.3">
      <c r="A90" s="369" t="s">
        <v>339</v>
      </c>
      <c r="B90" s="370" t="s">
        <v>339</v>
      </c>
      <c r="C90" s="626">
        <v>0.50526987057296102</v>
      </c>
      <c r="D90" s="626">
        <v>0.50544729536468402</v>
      </c>
      <c r="E90" s="626">
        <v>0.50715945984378896</v>
      </c>
      <c r="F90" s="626">
        <v>0.51014269632474696</v>
      </c>
      <c r="G90" s="626">
        <v>0.51402107117407303</v>
      </c>
      <c r="H90" s="626">
        <v>0.51844002222834096</v>
      </c>
      <c r="I90" s="626">
        <v>0.52042337028785202</v>
      </c>
      <c r="J90" s="626">
        <v>0.52306862386384201</v>
      </c>
      <c r="K90" s="626">
        <v>0.52619297457784997</v>
      </c>
      <c r="L90" s="626">
        <v>0.52948278030148399</v>
      </c>
      <c r="M90" s="626">
        <v>0.53264441007899599</v>
      </c>
      <c r="N90" s="626">
        <v>0.53699626361939901</v>
      </c>
      <c r="O90" s="626">
        <v>0.54052646834712104</v>
      </c>
      <c r="P90" s="626">
        <v>0.54320671730167702</v>
      </c>
      <c r="Q90" s="626">
        <v>0.54507618135699998</v>
      </c>
      <c r="R90" s="626">
        <v>0.54616461677962302</v>
      </c>
      <c r="S90" s="626">
        <v>0.544365746800204</v>
      </c>
      <c r="T90" s="626">
        <v>0.54243141897540204</v>
      </c>
      <c r="U90" s="626">
        <v>0.54029901038230799</v>
      </c>
      <c r="V90" s="626">
        <v>0.53779970969167401</v>
      </c>
      <c r="W90" s="626">
        <v>0.53484955070843598</v>
      </c>
      <c r="X90" s="626">
        <v>0.531006990206355</v>
      </c>
      <c r="Y90" s="626">
        <v>0.52656120055952504</v>
      </c>
      <c r="Z90" s="626">
        <v>0.52175851880464397</v>
      </c>
      <c r="AA90" s="626">
        <v>0.51692948095862001</v>
      </c>
      <c r="AB90" s="626">
        <v>0.51232814210215205</v>
      </c>
      <c r="AC90" s="626">
        <v>0.50759710326933705</v>
      </c>
      <c r="AD90" s="626">
        <v>0.50317092255034601</v>
      </c>
      <c r="AE90" s="626">
        <v>0.49928390583699395</v>
      </c>
      <c r="AF90" s="626">
        <v>0.49619962709076398</v>
      </c>
      <c r="AG90" s="626">
        <v>0.49410553321695505</v>
      </c>
    </row>
    <row r="91" spans="1:33" x14ac:dyDescent="0.3">
      <c r="A91" s="369" t="s">
        <v>315</v>
      </c>
      <c r="B91" s="370" t="s">
        <v>315</v>
      </c>
      <c r="C91" s="626">
        <v>0.56590879023974805</v>
      </c>
      <c r="D91" s="626">
        <v>0.56190877711383502</v>
      </c>
      <c r="E91" s="626">
        <v>0.55808965563383095</v>
      </c>
      <c r="F91" s="626">
        <v>0.55448309811383401</v>
      </c>
      <c r="G91" s="626">
        <v>0.55111233640106005</v>
      </c>
      <c r="H91" s="626">
        <v>0.54797008482006404</v>
      </c>
      <c r="I91" s="626">
        <v>0.54535491893875598</v>
      </c>
      <c r="J91" s="626">
        <v>0.54317361499450001</v>
      </c>
      <c r="K91" s="626">
        <v>0.54123653542491901</v>
      </c>
      <c r="L91" s="626">
        <v>0.539254420241285</v>
      </c>
      <c r="M91" s="626">
        <v>0.53704823715734895</v>
      </c>
      <c r="N91" s="626">
        <v>0.53360458904743702</v>
      </c>
      <c r="O91" s="626">
        <v>0.52906502648382103</v>
      </c>
      <c r="P91" s="626">
        <v>0.52445820095455797</v>
      </c>
      <c r="Q91" s="626">
        <v>0.51996454601300401</v>
      </c>
      <c r="R91" s="626">
        <v>0.51567835248836502</v>
      </c>
      <c r="S91" s="626">
        <v>0.51136241773399305</v>
      </c>
      <c r="T91" s="626">
        <v>0.50725881793055505</v>
      </c>
      <c r="U91" s="626">
        <v>0.50333305977434895</v>
      </c>
      <c r="V91" s="626">
        <v>0.49950931078941402</v>
      </c>
      <c r="W91" s="626">
        <v>0.495745491997239</v>
      </c>
      <c r="X91" s="626">
        <v>0.491855572399163</v>
      </c>
      <c r="Y91" s="626">
        <v>0.48810312141639201</v>
      </c>
      <c r="Z91" s="626">
        <v>0.484506616957187</v>
      </c>
      <c r="AA91" s="626">
        <v>0.481075795758443</v>
      </c>
      <c r="AB91" s="626">
        <v>0.47783456598690899</v>
      </c>
      <c r="AC91" s="626">
        <v>0.47460549185187306</v>
      </c>
      <c r="AD91" s="626">
        <v>0.47161129142945496</v>
      </c>
      <c r="AE91" s="626">
        <v>0.46899669792706</v>
      </c>
      <c r="AF91" s="626">
        <v>0.46694595784991599</v>
      </c>
      <c r="AG91" s="626">
        <v>0.46557107831039102</v>
      </c>
    </row>
    <row r="92" spans="1:33" x14ac:dyDescent="0.3">
      <c r="A92" s="369" t="s">
        <v>349</v>
      </c>
      <c r="B92" s="370" t="s">
        <v>349</v>
      </c>
      <c r="C92" s="626">
        <v>0.57417982191970696</v>
      </c>
      <c r="D92" s="626">
        <v>0.57496264270180497</v>
      </c>
      <c r="E92" s="626">
        <v>0.57585240414783401</v>
      </c>
      <c r="F92" s="626">
        <v>0.57673309507600201</v>
      </c>
      <c r="G92" s="626">
        <v>0.57745439669645104</v>
      </c>
      <c r="H92" s="626">
        <v>0.57790288479052299</v>
      </c>
      <c r="I92" s="626">
        <v>0.57675554539956897</v>
      </c>
      <c r="J92" s="626">
        <v>0.57539148173698795</v>
      </c>
      <c r="K92" s="626">
        <v>0.57383764985754504</v>
      </c>
      <c r="L92" s="626">
        <v>0.57212553064447802</v>
      </c>
      <c r="M92" s="626">
        <v>0.57025798612574796</v>
      </c>
      <c r="N92" s="626">
        <v>0.56753540738113395</v>
      </c>
      <c r="O92" s="626">
        <v>0.56473492078199905</v>
      </c>
      <c r="P92" s="626">
        <v>0.56189558199298295</v>
      </c>
      <c r="Q92" s="626">
        <v>0.55905909539295096</v>
      </c>
      <c r="R92" s="626">
        <v>0.55623998243087103</v>
      </c>
      <c r="S92" s="626">
        <v>0.55257032149711904</v>
      </c>
      <c r="T92" s="626">
        <v>0.54875360102958703</v>
      </c>
      <c r="U92" s="626">
        <v>0.54483446974648697</v>
      </c>
      <c r="V92" s="626">
        <v>0.54083550447109896</v>
      </c>
      <c r="W92" s="626">
        <v>0.536794545134896</v>
      </c>
      <c r="X92" s="626">
        <v>0.53239306751177495</v>
      </c>
      <c r="Y92" s="626">
        <v>0.52792903068617103</v>
      </c>
      <c r="Z92" s="626">
        <v>0.52360558546014302</v>
      </c>
      <c r="AA92" s="626">
        <v>0.51969375929958095</v>
      </c>
      <c r="AB92" s="626">
        <v>0.51639952805596501</v>
      </c>
      <c r="AC92" s="626">
        <v>0.51344243206192197</v>
      </c>
      <c r="AD92" s="626">
        <v>0.51112796187817799</v>
      </c>
      <c r="AE92" s="626">
        <v>0.50955298684544903</v>
      </c>
      <c r="AF92" s="626">
        <v>0.50878273727009604</v>
      </c>
      <c r="AG92" s="626">
        <v>0.50885458450282905</v>
      </c>
    </row>
    <row r="93" spans="1:33" x14ac:dyDescent="0.3">
      <c r="A93" s="369" t="s">
        <v>194</v>
      </c>
      <c r="B93" s="370" t="s">
        <v>194</v>
      </c>
      <c r="C93" s="626">
        <v>0.40485161382771201</v>
      </c>
      <c r="D93" s="626">
        <v>0.40051213211376502</v>
      </c>
      <c r="E93" s="626">
        <v>0.395966233209468</v>
      </c>
      <c r="F93" s="626">
        <v>0.39115055293572298</v>
      </c>
      <c r="G93" s="626">
        <v>0.385982762533151</v>
      </c>
      <c r="H93" s="626">
        <v>0.38039409715373201</v>
      </c>
      <c r="I93" s="626">
        <v>0.37315628876141099</v>
      </c>
      <c r="J93" s="626">
        <v>0.36584039661093798</v>
      </c>
      <c r="K93" s="626">
        <v>0.35846344589002999</v>
      </c>
      <c r="L93" s="626">
        <v>0.35113957149533498</v>
      </c>
      <c r="M93" s="626">
        <v>0.34401337684351702</v>
      </c>
      <c r="N93" s="626">
        <v>0.33803796953803894</v>
      </c>
      <c r="O93" s="626">
        <v>0.332752752955007</v>
      </c>
      <c r="P93" s="626">
        <v>0.32816292005946102</v>
      </c>
      <c r="Q93" s="626">
        <v>0.32435135216431499</v>
      </c>
      <c r="R93" s="626">
        <v>0.32135442343173998</v>
      </c>
      <c r="S93" s="626">
        <v>0.31939588908726702</v>
      </c>
      <c r="T93" s="626">
        <v>0.31827334561359599</v>
      </c>
      <c r="U93" s="626">
        <v>0.317880833045039</v>
      </c>
      <c r="V93" s="626">
        <v>0.31807613475426399</v>
      </c>
      <c r="W93" s="626">
        <v>0.318757062406194</v>
      </c>
      <c r="X93" s="626">
        <v>0.32016949878634399</v>
      </c>
      <c r="Y93" s="626">
        <v>0.32213080257328103</v>
      </c>
      <c r="Z93" s="626">
        <v>0.32455942693741202</v>
      </c>
      <c r="AA93" s="626">
        <v>0.32735753182028399</v>
      </c>
      <c r="AB93" s="626">
        <v>0.33045287106252302</v>
      </c>
      <c r="AC93" s="626">
        <v>0.33407168016552502</v>
      </c>
      <c r="AD93" s="626">
        <v>0.33800238902778601</v>
      </c>
      <c r="AE93" s="626">
        <v>0.34224821661681903</v>
      </c>
      <c r="AF93" s="626">
        <v>0.34684720721350198</v>
      </c>
      <c r="AG93" s="626">
        <v>0.35181833376342603</v>
      </c>
    </row>
    <row r="94" spans="1:33" x14ac:dyDescent="0.3">
      <c r="A94" s="369" t="s">
        <v>302</v>
      </c>
      <c r="B94" s="370" t="s">
        <v>302</v>
      </c>
      <c r="C94" s="626">
        <v>0.52170031787072002</v>
      </c>
      <c r="D94" s="626">
        <v>0.51931433401278204</v>
      </c>
      <c r="E94" s="626">
        <v>0.51726605258755698</v>
      </c>
      <c r="F94" s="626">
        <v>0.51552214527279505</v>
      </c>
      <c r="G94" s="626">
        <v>0.51399646927228604</v>
      </c>
      <c r="H94" s="626">
        <v>0.51260688381733099</v>
      </c>
      <c r="I94" s="626">
        <v>0.51149059488544202</v>
      </c>
      <c r="J94" s="626">
        <v>0.51052268355564501</v>
      </c>
      <c r="K94" s="626">
        <v>0.50956148090489695</v>
      </c>
      <c r="L94" s="626">
        <v>0.50841400298703299</v>
      </c>
      <c r="M94" s="626">
        <v>0.506942058673439</v>
      </c>
      <c r="N94" s="626">
        <v>0.50423383332147198</v>
      </c>
      <c r="O94" s="626">
        <v>0.50147918860718199</v>
      </c>
      <c r="P94" s="626">
        <v>0.49871485534427401</v>
      </c>
      <c r="Q94" s="626">
        <v>0.496052482839757</v>
      </c>
      <c r="R94" s="626">
        <v>0.49355913639323307</v>
      </c>
      <c r="S94" s="626">
        <v>0.49116344490185598</v>
      </c>
      <c r="T94" s="626">
        <v>0.48892803694176401</v>
      </c>
      <c r="U94" s="626">
        <v>0.48669204403854999</v>
      </c>
      <c r="V94" s="626">
        <v>0.484206842940688</v>
      </c>
      <c r="W94" s="626">
        <v>0.48132574739689299</v>
      </c>
      <c r="X94" s="626">
        <v>0.478019704850146</v>
      </c>
      <c r="Y94" s="626">
        <v>0.47427013095991299</v>
      </c>
      <c r="Z94" s="626">
        <v>0.47032720810690798</v>
      </c>
      <c r="AA94" s="626">
        <v>0.46665962436662201</v>
      </c>
      <c r="AB94" s="626">
        <v>0.46362877580700501</v>
      </c>
      <c r="AC94" s="626">
        <v>0.46109586208130598</v>
      </c>
      <c r="AD94" s="626">
        <v>0.45930732062780799</v>
      </c>
      <c r="AE94" s="626">
        <v>0.45826338022241908</v>
      </c>
      <c r="AF94" s="626">
        <v>0.45787292861281498</v>
      </c>
      <c r="AG94" s="626">
        <v>0.458088494855105</v>
      </c>
    </row>
    <row r="95" spans="1:33" x14ac:dyDescent="0.3">
      <c r="A95" s="369" t="s">
        <v>195</v>
      </c>
      <c r="B95" s="370" t="s">
        <v>195</v>
      </c>
      <c r="C95" s="626">
        <v>0.56259160963904897</v>
      </c>
      <c r="D95" s="626">
        <v>0.56100040647361504</v>
      </c>
      <c r="E95" s="626">
        <v>0.55979311396965903</v>
      </c>
      <c r="F95" s="626">
        <v>0.55874608615774701</v>
      </c>
      <c r="G95" s="626">
        <v>0.55756934900856503</v>
      </c>
      <c r="H95" s="626">
        <v>0.55922354303747601</v>
      </c>
      <c r="I95" s="626">
        <v>0.56079037478568805</v>
      </c>
      <c r="J95" s="626">
        <v>0.56205053049908005</v>
      </c>
      <c r="K95" s="626">
        <v>0.56301226692444095</v>
      </c>
      <c r="L95" s="626">
        <v>0.56370290047960503</v>
      </c>
      <c r="M95" s="626">
        <v>0.56414399152233397</v>
      </c>
      <c r="N95" s="626">
        <v>0.56345062256749301</v>
      </c>
      <c r="O95" s="626">
        <v>0.562676041820943</v>
      </c>
      <c r="P95" s="626">
        <v>0.56185004605057198</v>
      </c>
      <c r="Q95" s="626">
        <v>0.560967405156928</v>
      </c>
      <c r="R95" s="626">
        <v>0.560024806251609</v>
      </c>
      <c r="S95" s="626">
        <v>0.55960437066439706</v>
      </c>
      <c r="T95" s="626">
        <v>0.55909485389718305</v>
      </c>
      <c r="U95" s="626">
        <v>0.55849465914802099</v>
      </c>
      <c r="V95" s="626">
        <v>0.55778459650970302</v>
      </c>
      <c r="W95" s="626">
        <v>0.55696731220087103</v>
      </c>
      <c r="X95" s="626">
        <v>0.55623832547005503</v>
      </c>
      <c r="Y95" s="626">
        <v>0.55530373423607704</v>
      </c>
      <c r="Z95" s="626">
        <v>0.55428770388799098</v>
      </c>
      <c r="AA95" s="626">
        <v>0.55337132169088599</v>
      </c>
      <c r="AB95" s="626">
        <v>0.55268498679146505</v>
      </c>
      <c r="AC95" s="626">
        <v>0.55213812768782</v>
      </c>
      <c r="AD95" s="626">
        <v>0.55180766166352002</v>
      </c>
      <c r="AE95" s="626">
        <v>0.55181656875601803</v>
      </c>
      <c r="AF95" s="626">
        <v>0.55233098552156401</v>
      </c>
      <c r="AG95" s="626">
        <v>0.55342533586409803</v>
      </c>
    </row>
    <row r="96" spans="1:33" x14ac:dyDescent="0.3">
      <c r="A96" s="369" t="s">
        <v>196</v>
      </c>
      <c r="B96" s="370" t="s">
        <v>196</v>
      </c>
      <c r="C96" s="626">
        <v>0.63797322569889003</v>
      </c>
      <c r="D96" s="626">
        <v>0.63351332621274803</v>
      </c>
      <c r="E96" s="626">
        <v>0.62851982700670295</v>
      </c>
      <c r="F96" s="626">
        <v>0.62370251042268199</v>
      </c>
      <c r="G96" s="626">
        <v>0.62001733201321196</v>
      </c>
      <c r="H96" s="626">
        <v>0.61800458717629003</v>
      </c>
      <c r="I96" s="626">
        <v>0.61645427185019297</v>
      </c>
      <c r="J96" s="626">
        <v>0.61600510944277598</v>
      </c>
      <c r="K96" s="626">
        <v>0.61655007579786403</v>
      </c>
      <c r="L96" s="626">
        <v>0.61790689504784801</v>
      </c>
      <c r="M96" s="626">
        <v>0.62003764128364203</v>
      </c>
      <c r="N96" s="626">
        <v>0.62393896013940298</v>
      </c>
      <c r="O96" s="626">
        <v>0.62886558822452499</v>
      </c>
      <c r="P96" s="626">
        <v>0.63432827533560898</v>
      </c>
      <c r="Q96" s="626">
        <v>0.63955414133093302</v>
      </c>
      <c r="R96" s="626">
        <v>0.64396808920650206</v>
      </c>
      <c r="S96" s="626">
        <v>0.64725514812823703</v>
      </c>
      <c r="T96" s="626">
        <v>0.64926012093973695</v>
      </c>
      <c r="U96" s="626">
        <v>0.64965063633409303</v>
      </c>
      <c r="V96" s="626">
        <v>0.64808010344452294</v>
      </c>
      <c r="W96" s="626">
        <v>0.64439983715578497</v>
      </c>
      <c r="X96" s="626">
        <v>0.63862203893905201</v>
      </c>
      <c r="Y96" s="626">
        <v>0.63090517257636003</v>
      </c>
      <c r="Z96" s="626">
        <v>0.62191424813201301</v>
      </c>
      <c r="AA96" s="626">
        <v>0.612606047180413</v>
      </c>
      <c r="AB96" s="626">
        <v>0.60364015583800001</v>
      </c>
      <c r="AC96" s="626">
        <v>0.59499116643203698</v>
      </c>
      <c r="AD96" s="626">
        <v>0.586736464225451</v>
      </c>
      <c r="AE96" s="626">
        <v>0.57915782080599598</v>
      </c>
      <c r="AF96" s="626">
        <v>0.57256273644025002</v>
      </c>
      <c r="AG96" s="626">
        <v>0.56712076924858001</v>
      </c>
    </row>
    <row r="97" spans="1:33" x14ac:dyDescent="0.3">
      <c r="A97" s="369" t="s">
        <v>36</v>
      </c>
      <c r="B97" s="370" t="s">
        <v>36</v>
      </c>
      <c r="C97" s="626">
        <v>0.60003836056751703</v>
      </c>
      <c r="D97" s="626">
        <v>0.59742518179173298</v>
      </c>
      <c r="E97" s="626">
        <v>0.59491013627494804</v>
      </c>
      <c r="F97" s="626">
        <v>0.59267843502883399</v>
      </c>
      <c r="G97" s="626">
        <v>0.59097026833902799</v>
      </c>
      <c r="H97" s="626">
        <v>0.58986774036485601</v>
      </c>
      <c r="I97" s="626">
        <v>0.589675613450094</v>
      </c>
      <c r="J97" s="626">
        <v>0.58990292583847803</v>
      </c>
      <c r="K97" s="626">
        <v>0.59012160868954999</v>
      </c>
      <c r="L97" s="626">
        <v>0.58974386864193595</v>
      </c>
      <c r="M97" s="626">
        <v>0.588467304498835</v>
      </c>
      <c r="N97" s="626">
        <v>0.58666326659541301</v>
      </c>
      <c r="O97" s="626">
        <v>0.58410334421420795</v>
      </c>
      <c r="P97" s="626">
        <v>0.58104965885365301</v>
      </c>
      <c r="Q97" s="626">
        <v>0.57788039451681295</v>
      </c>
      <c r="R97" s="626">
        <v>0.57450788499190097</v>
      </c>
      <c r="S97" s="626">
        <v>0.57129816801214195</v>
      </c>
      <c r="T97" s="626">
        <v>0.56817926332344704</v>
      </c>
      <c r="U97" s="626">
        <v>0.565115391214848</v>
      </c>
      <c r="V97" s="626">
        <v>0.56203280485804896</v>
      </c>
      <c r="W97" s="626">
        <v>0.55891460566620099</v>
      </c>
      <c r="X97" s="626">
        <v>0.55582588685451495</v>
      </c>
      <c r="Y97" s="626">
        <v>0.55275695803561797</v>
      </c>
      <c r="Z97" s="626">
        <v>0.54983888496387601</v>
      </c>
      <c r="AA97" s="626">
        <v>0.54724898028963198</v>
      </c>
      <c r="AB97" s="626">
        <v>0.54508241327794305</v>
      </c>
      <c r="AC97" s="626">
        <v>0.54329952992459596</v>
      </c>
      <c r="AD97" s="626">
        <v>0.54185311829497396</v>
      </c>
      <c r="AE97" s="626">
        <v>0.54071417114097398</v>
      </c>
      <c r="AF97" s="626">
        <v>0.53984650041647897</v>
      </c>
      <c r="AG97" s="626">
        <v>0.53921441601370301</v>
      </c>
    </row>
    <row r="98" spans="1:33" x14ac:dyDescent="0.3">
      <c r="A98" s="369" t="s">
        <v>402</v>
      </c>
      <c r="B98" s="370" t="s">
        <v>402</v>
      </c>
      <c r="C98" s="626">
        <v>0.640769600900436</v>
      </c>
      <c r="D98" s="626">
        <v>0.63849715924736095</v>
      </c>
      <c r="E98" s="626">
        <v>0.63621130104887302</v>
      </c>
      <c r="F98" s="626">
        <v>0.63375088531971102</v>
      </c>
      <c r="G98" s="626">
        <v>0.63151467295226904</v>
      </c>
      <c r="H98" s="626">
        <v>0.63030802007074105</v>
      </c>
      <c r="I98" s="626">
        <v>0.63197049069239097</v>
      </c>
      <c r="J98" s="626">
        <v>0.63473961064294604</v>
      </c>
      <c r="K98" s="626">
        <v>0.63753501208239005</v>
      </c>
      <c r="L98" s="626">
        <v>0.63946428329507399</v>
      </c>
      <c r="M98" s="626">
        <v>0.64028674712093903</v>
      </c>
      <c r="N98" s="626">
        <v>0.64056738711903805</v>
      </c>
      <c r="O98" s="626">
        <v>0.63987386233951504</v>
      </c>
      <c r="P98" s="626">
        <v>0.63888173496838196</v>
      </c>
      <c r="Q98" s="626">
        <v>0.638711859458717</v>
      </c>
      <c r="R98" s="626">
        <v>0.63984142299201896</v>
      </c>
      <c r="S98" s="626">
        <v>0.64304266248440101</v>
      </c>
      <c r="T98" s="626">
        <v>0.64727568561308801</v>
      </c>
      <c r="U98" s="626">
        <v>0.65161021154171594</v>
      </c>
      <c r="V98" s="626">
        <v>0.654323167800684</v>
      </c>
      <c r="W98" s="626">
        <v>0.65445687521022511</v>
      </c>
      <c r="X98" s="626">
        <v>0.65270881512493384</v>
      </c>
      <c r="Y98" s="626">
        <v>0.64880173161584898</v>
      </c>
      <c r="Z98" s="626">
        <v>0.64362444111362704</v>
      </c>
      <c r="AA98" s="626">
        <v>0.63836697668612097</v>
      </c>
      <c r="AB98" s="626">
        <v>0.63381952825853904</v>
      </c>
      <c r="AC98" s="626">
        <v>0.630119235166687</v>
      </c>
      <c r="AD98" s="626">
        <v>0.62688733817212305</v>
      </c>
      <c r="AE98" s="626">
        <v>0.623826360847334</v>
      </c>
      <c r="AF98" s="626">
        <v>0.62045713956237203</v>
      </c>
      <c r="AG98" s="626">
        <v>0.61660706303847101</v>
      </c>
    </row>
    <row r="99" spans="1:33" x14ac:dyDescent="0.3">
      <c r="A99" s="369" t="s">
        <v>316</v>
      </c>
      <c r="B99" s="370" t="s">
        <v>316</v>
      </c>
      <c r="C99" s="626">
        <v>0.55097365387601704</v>
      </c>
      <c r="D99" s="626">
        <v>0.53978576505417897</v>
      </c>
      <c r="E99" s="626">
        <v>0.53055983060364098</v>
      </c>
      <c r="F99" s="626">
        <v>0.523601346756563</v>
      </c>
      <c r="G99" s="626">
        <v>0.51870942157369804</v>
      </c>
      <c r="H99" s="626">
        <v>0.515353030483226</v>
      </c>
      <c r="I99" s="626">
        <v>0.52164214069041404</v>
      </c>
      <c r="J99" s="626">
        <v>0.53060291656668901</v>
      </c>
      <c r="K99" s="626">
        <v>0.54215937028063399</v>
      </c>
      <c r="L99" s="626">
        <v>0.55581706384561702</v>
      </c>
      <c r="M99" s="626">
        <v>0.57095529797976097</v>
      </c>
      <c r="N99" s="626">
        <v>0.59038609515944096</v>
      </c>
      <c r="O99" s="626">
        <v>0.60800129464443697</v>
      </c>
      <c r="P99" s="626">
        <v>0.623806869928482</v>
      </c>
      <c r="Q99" s="626">
        <v>0.63806604000684297</v>
      </c>
      <c r="R99" s="626">
        <v>0.65102077524025304</v>
      </c>
      <c r="S99" s="626">
        <v>0.660623813309694</v>
      </c>
      <c r="T99" s="626">
        <v>0.66893453378962386</v>
      </c>
      <c r="U99" s="626">
        <v>0.67567979691365199</v>
      </c>
      <c r="V99" s="626">
        <v>0.68028674228616515</v>
      </c>
      <c r="W99" s="626">
        <v>0.68225579002965797</v>
      </c>
      <c r="X99" s="626">
        <v>0.67437391475028907</v>
      </c>
      <c r="Y99" s="626">
        <v>0.66538337937605485</v>
      </c>
      <c r="Z99" s="626">
        <v>0.65622756647772196</v>
      </c>
      <c r="AA99" s="626">
        <v>0.64780073980137798</v>
      </c>
      <c r="AB99" s="626">
        <v>0.64054238121672602</v>
      </c>
      <c r="AC99" s="626">
        <v>0.63255390821705004</v>
      </c>
      <c r="AD99" s="626">
        <v>0.62559466263221597</v>
      </c>
      <c r="AE99" s="626">
        <v>0.61998734349251305</v>
      </c>
      <c r="AF99" s="626">
        <v>0.61581031662855401</v>
      </c>
      <c r="AG99" s="626">
        <v>0.61298824728580503</v>
      </c>
    </row>
    <row r="100" spans="1:33" x14ac:dyDescent="0.3">
      <c r="A100" s="370" t="s">
        <v>796</v>
      </c>
      <c r="B100" s="370" t="s">
        <v>796</v>
      </c>
      <c r="C100" s="626">
        <v>0.65504962869316896</v>
      </c>
      <c r="D100" s="626">
        <v>0.65313778940243905</v>
      </c>
      <c r="E100" s="626">
        <v>0.65072663742672499</v>
      </c>
      <c r="F100" s="626">
        <v>0.64812048615437701</v>
      </c>
      <c r="G100" s="626">
        <v>0.64585679138339203</v>
      </c>
      <c r="H100" s="626">
        <v>0.64431543412789904</v>
      </c>
      <c r="I100" s="626">
        <v>0.64163181463820196</v>
      </c>
      <c r="J100" s="626">
        <v>0.63973595372184699</v>
      </c>
      <c r="K100" s="626">
        <v>0.63898884835101899</v>
      </c>
      <c r="L100" s="626">
        <v>0.63941271982341796</v>
      </c>
      <c r="M100" s="626">
        <v>0.64085803297230304</v>
      </c>
      <c r="N100" s="626">
        <v>0.64633622456141315</v>
      </c>
      <c r="O100" s="626">
        <v>0.652175111054347</v>
      </c>
      <c r="P100" s="626">
        <v>0.65780041180690185</v>
      </c>
      <c r="Q100" s="626">
        <v>0.66270621551117104</v>
      </c>
      <c r="R100" s="626">
        <v>0.66666144761504997</v>
      </c>
      <c r="S100" s="626">
        <v>0.67017125204056205</v>
      </c>
      <c r="T100" s="626">
        <v>0.67311191847683005</v>
      </c>
      <c r="U100" s="626">
        <v>0.67523784648613105</v>
      </c>
      <c r="V100" s="626">
        <v>0.67625370163808796</v>
      </c>
      <c r="W100" s="626">
        <v>0.67598366132860288</v>
      </c>
      <c r="X100" s="626">
        <v>0.67469441566266097</v>
      </c>
      <c r="Y100" s="626">
        <v>0.6722462852564991</v>
      </c>
      <c r="Z100" s="626">
        <v>0.66854323058492293</v>
      </c>
      <c r="AA100" s="626">
        <v>0.66347023910041902</v>
      </c>
      <c r="AB100" s="626">
        <v>0.65707283163949792</v>
      </c>
      <c r="AC100" s="626">
        <v>0.64968649784934196</v>
      </c>
      <c r="AD100" s="626">
        <v>0.64115457060964998</v>
      </c>
      <c r="AE100" s="626">
        <v>0.632275987528372</v>
      </c>
      <c r="AF100" s="626">
        <v>0.62412045408271499</v>
      </c>
      <c r="AG100" s="626">
        <v>0.617271788040338</v>
      </c>
    </row>
    <row r="101" spans="1:33" x14ac:dyDescent="0.3">
      <c r="A101" s="369" t="s">
        <v>727</v>
      </c>
      <c r="B101" s="370" t="s">
        <v>116</v>
      </c>
      <c r="C101" s="626">
        <v>0.63170036598611001</v>
      </c>
      <c r="D101" s="626">
        <v>0.62806201179135002</v>
      </c>
      <c r="E101" s="626">
        <v>0.62399551061053504</v>
      </c>
      <c r="F101" s="626">
        <v>0.61960102688702501</v>
      </c>
      <c r="G101" s="626">
        <v>0.61503287082665303</v>
      </c>
      <c r="H101" s="626">
        <v>0.61046235858117703</v>
      </c>
      <c r="I101" s="626">
        <v>0.60753883516586604</v>
      </c>
      <c r="J101" s="626">
        <v>0.60469532341896703</v>
      </c>
      <c r="K101" s="626">
        <v>0.60215664866083096</v>
      </c>
      <c r="L101" s="626">
        <v>0.60026181233926801</v>
      </c>
      <c r="M101" s="626">
        <v>0.59915780114994599</v>
      </c>
      <c r="N101" s="626">
        <v>0.59998509307785497</v>
      </c>
      <c r="O101" s="626">
        <v>0.60135232785594495</v>
      </c>
      <c r="P101" s="626">
        <v>0.60292784879289596</v>
      </c>
      <c r="Q101" s="626">
        <v>0.60439494344970901</v>
      </c>
      <c r="R101" s="626">
        <v>0.60556404288656396</v>
      </c>
      <c r="S101" s="626">
        <v>0.60615557441880796</v>
      </c>
      <c r="T101" s="626">
        <v>0.60677537579084195</v>
      </c>
      <c r="U101" s="626">
        <v>0.60721322858652604</v>
      </c>
      <c r="V101" s="626">
        <v>0.60721199419913996</v>
      </c>
      <c r="W101" s="626">
        <v>0.60663705257900402</v>
      </c>
      <c r="X101" s="626">
        <v>0.60592685851560701</v>
      </c>
      <c r="Y101" s="626">
        <v>0.60467969293022406</v>
      </c>
      <c r="Z101" s="626">
        <v>0.60302692993636797</v>
      </c>
      <c r="AA101" s="626">
        <v>0.60120643417240205</v>
      </c>
      <c r="AB101" s="626">
        <v>0.59936910740396299</v>
      </c>
      <c r="AC101" s="626">
        <v>0.59784484705230001</v>
      </c>
      <c r="AD101" s="626">
        <v>0.59631321437708595</v>
      </c>
      <c r="AE101" s="626">
        <v>0.59467130997962103</v>
      </c>
      <c r="AF101" s="626">
        <v>0.59279575486165104</v>
      </c>
      <c r="AG101" s="626">
        <v>0.59063479954700304</v>
      </c>
    </row>
    <row r="102" spans="1:33" x14ac:dyDescent="0.3">
      <c r="A102" s="369" t="s">
        <v>340</v>
      </c>
      <c r="B102" s="370" t="s">
        <v>340</v>
      </c>
      <c r="C102" s="626">
        <v>0.56098511386783301</v>
      </c>
      <c r="D102" s="626">
        <v>0.55324909552769896</v>
      </c>
      <c r="E102" s="626">
        <v>0.54521373300706899</v>
      </c>
      <c r="F102" s="626">
        <v>0.53721046658281302</v>
      </c>
      <c r="G102" s="626">
        <v>0.52979285409438803</v>
      </c>
      <c r="H102" s="626">
        <v>0.52332537524608402</v>
      </c>
      <c r="I102" s="626">
        <v>0.51893002579596403</v>
      </c>
      <c r="J102" s="626">
        <v>0.51513010064818199</v>
      </c>
      <c r="K102" s="626">
        <v>0.51177786325210495</v>
      </c>
      <c r="L102" s="626">
        <v>0.50887125352234597</v>
      </c>
      <c r="M102" s="626">
        <v>0.50651657806225503</v>
      </c>
      <c r="N102" s="626">
        <v>0.50537876721168296</v>
      </c>
      <c r="O102" s="626">
        <v>0.50549775093941096</v>
      </c>
      <c r="P102" s="626">
        <v>0.50618766961564698</v>
      </c>
      <c r="Q102" s="626">
        <v>0.50663508380058697</v>
      </c>
      <c r="R102" s="626">
        <v>0.50635297309564098</v>
      </c>
      <c r="S102" s="626">
        <v>0.50745884695522803</v>
      </c>
      <c r="T102" s="626">
        <v>0.50860920178358004</v>
      </c>
      <c r="U102" s="626">
        <v>0.50945176431570904</v>
      </c>
      <c r="V102" s="626">
        <v>0.50962260842648699</v>
      </c>
      <c r="W102" s="626">
        <v>0.50883803680981599</v>
      </c>
      <c r="X102" s="626">
        <v>0.50683013584935199</v>
      </c>
      <c r="Y102" s="626">
        <v>0.50343784907760203</v>
      </c>
      <c r="Z102" s="626">
        <v>0.49913913931037501</v>
      </c>
      <c r="AA102" s="626">
        <v>0.49487472604253002</v>
      </c>
      <c r="AB102" s="626">
        <v>0.49124473264593199</v>
      </c>
      <c r="AC102" s="626">
        <v>0.48798894926967201</v>
      </c>
      <c r="AD102" s="626">
        <v>0.48568372109222602</v>
      </c>
      <c r="AE102" s="626">
        <v>0.483900989105081</v>
      </c>
      <c r="AF102" s="626">
        <v>0.481850367409077</v>
      </c>
      <c r="AG102" s="626">
        <v>0.47904129091498698</v>
      </c>
    </row>
    <row r="103" spans="1:33" x14ac:dyDescent="0.3">
      <c r="A103" s="369" t="s">
        <v>317</v>
      </c>
      <c r="B103" s="370" t="s">
        <v>317</v>
      </c>
      <c r="C103" s="626">
        <v>0.49902188601680902</v>
      </c>
      <c r="D103" s="626">
        <v>0.49285604120195603</v>
      </c>
      <c r="E103" s="626">
        <v>0.484703405392861</v>
      </c>
      <c r="F103" s="626">
        <v>0.474958128183123</v>
      </c>
      <c r="G103" s="626">
        <v>0.464119364128876</v>
      </c>
      <c r="H103" s="626">
        <v>0.45271806600388392</v>
      </c>
      <c r="I103" s="626">
        <v>0.44898568230547098</v>
      </c>
      <c r="J103" s="626">
        <v>0.44529927776196293</v>
      </c>
      <c r="K103" s="626">
        <v>0.44215969028595803</v>
      </c>
      <c r="L103" s="626">
        <v>0.43968044768541892</v>
      </c>
      <c r="M103" s="626">
        <v>0.43796316797032198</v>
      </c>
      <c r="N103" s="626">
        <v>0.43633764331422897</v>
      </c>
      <c r="O103" s="626">
        <v>0.43556029418292502</v>
      </c>
      <c r="P103" s="626">
        <v>0.43539454885145501</v>
      </c>
      <c r="Q103" s="626">
        <v>0.43557673042179901</v>
      </c>
      <c r="R103" s="626">
        <v>0.43590721559700901</v>
      </c>
      <c r="S103" s="626">
        <v>0.43716770845268899</v>
      </c>
      <c r="T103" s="626">
        <v>0.43864595529267802</v>
      </c>
      <c r="U103" s="626">
        <v>0.44041300466487798</v>
      </c>
      <c r="V103" s="626">
        <v>0.442587538306628</v>
      </c>
      <c r="W103" s="626">
        <v>0.44522961196742999</v>
      </c>
      <c r="X103" s="626">
        <v>0.44961522979242402</v>
      </c>
      <c r="Y103" s="626">
        <v>0.45457978862396198</v>
      </c>
      <c r="Z103" s="626">
        <v>0.459949650896533</v>
      </c>
      <c r="AA103" s="626">
        <v>0.46543683270441599</v>
      </c>
      <c r="AB103" s="626">
        <v>0.47083343686208801</v>
      </c>
      <c r="AC103" s="626">
        <v>0.47511019302645896</v>
      </c>
      <c r="AD103" s="626">
        <v>0.47911920691536303</v>
      </c>
      <c r="AE103" s="626">
        <v>0.48288899499586402</v>
      </c>
      <c r="AF103" s="626">
        <v>0.48652044438281</v>
      </c>
      <c r="AG103" s="626">
        <v>0.490057622727119</v>
      </c>
    </row>
    <row r="104" spans="1:33" x14ac:dyDescent="0.3">
      <c r="A104" s="369" t="s">
        <v>73</v>
      </c>
      <c r="B104" s="370" t="s">
        <v>73</v>
      </c>
      <c r="C104" s="626">
        <v>0.56612371357449598</v>
      </c>
      <c r="D104" s="626">
        <v>0.56237902605756696</v>
      </c>
      <c r="E104" s="626">
        <v>0.558777302517386</v>
      </c>
      <c r="F104" s="626">
        <v>0.55534223458542598</v>
      </c>
      <c r="G104" s="626">
        <v>0.55203848766785402</v>
      </c>
      <c r="H104" s="626">
        <v>0.54885729874419897</v>
      </c>
      <c r="I104" s="626">
        <v>0.54630417787737195</v>
      </c>
      <c r="J104" s="626">
        <v>0.54364583165897296</v>
      </c>
      <c r="K104" s="626">
        <v>0.54093080194784005</v>
      </c>
      <c r="L104" s="626">
        <v>0.53816890695428199</v>
      </c>
      <c r="M104" s="626">
        <v>0.54077748431762596</v>
      </c>
      <c r="N104" s="626">
        <v>0.54528170401125498</v>
      </c>
      <c r="O104" s="626">
        <v>0.54914271917326796</v>
      </c>
      <c r="P104" s="626">
        <v>0.55229445546914502</v>
      </c>
      <c r="Q104" s="626">
        <v>0.55462571532339899</v>
      </c>
      <c r="R104" s="626">
        <v>0.55596975741300403</v>
      </c>
      <c r="S104" s="626">
        <v>0.55836250273499599</v>
      </c>
      <c r="T104" s="626">
        <v>0.56014537754967197</v>
      </c>
      <c r="U104" s="626">
        <v>0.56149862469376599</v>
      </c>
      <c r="V104" s="626">
        <v>0.56267186544067704</v>
      </c>
      <c r="W104" s="626">
        <v>0.56380816606594597</v>
      </c>
      <c r="X104" s="626">
        <v>0.56558436635576104</v>
      </c>
      <c r="Y104" s="626">
        <v>0.56716134300824395</v>
      </c>
      <c r="Z104" s="626">
        <v>0.56839937963552101</v>
      </c>
      <c r="AA104" s="626">
        <v>0.56910833499208102</v>
      </c>
      <c r="AB104" s="626">
        <v>0.56919527315347096</v>
      </c>
      <c r="AC104" s="626">
        <v>0.56933978084647996</v>
      </c>
      <c r="AD104" s="626">
        <v>0.56905848971133599</v>
      </c>
      <c r="AE104" s="626">
        <v>0.56833159472080397</v>
      </c>
      <c r="AF104" s="626">
        <v>0.56711602128593097</v>
      </c>
      <c r="AG104" s="626">
        <v>0.56541104923402397</v>
      </c>
    </row>
    <row r="105" spans="1:33" x14ac:dyDescent="0.3">
      <c r="A105" s="369" t="s">
        <v>74</v>
      </c>
      <c r="B105" s="370" t="s">
        <v>74</v>
      </c>
      <c r="C105" s="626">
        <v>0.629164293679355</v>
      </c>
      <c r="D105" s="626">
        <v>0.62588850816669706</v>
      </c>
      <c r="E105" s="626">
        <v>0.62275975775859205</v>
      </c>
      <c r="F105" s="626">
        <v>0.61978053012547996</v>
      </c>
      <c r="G105" s="626">
        <v>0.61695625535805398</v>
      </c>
      <c r="H105" s="626">
        <v>0.61425931749120599</v>
      </c>
      <c r="I105" s="626">
        <v>0.611750967180686</v>
      </c>
      <c r="J105" s="626">
        <v>0.60934892248934702</v>
      </c>
      <c r="K105" s="626">
        <v>0.60684484190365895</v>
      </c>
      <c r="L105" s="626">
        <v>0.60395365097159104</v>
      </c>
      <c r="M105" s="626">
        <v>0.60052889000427101</v>
      </c>
      <c r="N105" s="626">
        <v>0.59666226692538105</v>
      </c>
      <c r="O105" s="626">
        <v>0.59234366142456496</v>
      </c>
      <c r="P105" s="626">
        <v>0.58771301833620804</v>
      </c>
      <c r="Q105" s="626">
        <v>0.58309847879300902</v>
      </c>
      <c r="R105" s="626">
        <v>0.57857135402091997</v>
      </c>
      <c r="S105" s="626">
        <v>0.57413313204394301</v>
      </c>
      <c r="T105" s="626">
        <v>0.56976858816836895</v>
      </c>
      <c r="U105" s="626">
        <v>0.56554858600718205</v>
      </c>
      <c r="V105" s="626">
        <v>0.56156201913939996</v>
      </c>
      <c r="W105" s="626">
        <v>0.557861217422702</v>
      </c>
      <c r="X105" s="626">
        <v>0.55443544748323903</v>
      </c>
      <c r="Y105" s="626">
        <v>0.55127755708603499</v>
      </c>
      <c r="Z105" s="626">
        <v>0.54839455367128098</v>
      </c>
      <c r="AA105" s="626">
        <v>0.54579552791753505</v>
      </c>
      <c r="AB105" s="626">
        <v>0.54347930495397101</v>
      </c>
      <c r="AC105" s="626">
        <v>0.54141543029279005</v>
      </c>
      <c r="AD105" s="626">
        <v>0.53960422085146098</v>
      </c>
      <c r="AE105" s="626">
        <v>0.53798298261122002</v>
      </c>
      <c r="AF105" s="626">
        <v>0.53647278717633295</v>
      </c>
      <c r="AG105" s="626">
        <v>0.53502279856301505</v>
      </c>
    </row>
    <row r="106" spans="1:33" x14ac:dyDescent="0.3">
      <c r="A106" s="369" t="s">
        <v>294</v>
      </c>
      <c r="B106" s="370" t="s">
        <v>294</v>
      </c>
      <c r="C106" s="626">
        <v>0.58389424222669395</v>
      </c>
      <c r="D106" s="626">
        <v>0.58615625845895403</v>
      </c>
      <c r="E106" s="626">
        <v>0.58863642022875495</v>
      </c>
      <c r="F106" s="626">
        <v>0.59153223985560999</v>
      </c>
      <c r="G106" s="626">
        <v>0.59504791989843597</v>
      </c>
      <c r="H106" s="626">
        <v>0.59919906020248404</v>
      </c>
      <c r="I106" s="626">
        <v>0.60320460111489504</v>
      </c>
      <c r="J106" s="626">
        <v>0.60736913131652104</v>
      </c>
      <c r="K106" s="626">
        <v>0.61156157530601396</v>
      </c>
      <c r="L106" s="626">
        <v>0.61561689449538404</v>
      </c>
      <c r="M106" s="626">
        <v>0.61941700925690102</v>
      </c>
      <c r="N106" s="626">
        <v>0.62316243071804001</v>
      </c>
      <c r="O106" s="626">
        <v>0.62641192023473802</v>
      </c>
      <c r="P106" s="626">
        <v>0.62905399176476495</v>
      </c>
      <c r="Q106" s="626">
        <v>0.63097387357624501</v>
      </c>
      <c r="R106" s="626">
        <v>0.63210052614302104</v>
      </c>
      <c r="S106" s="626">
        <v>0.63290940169181598</v>
      </c>
      <c r="T106" s="626">
        <v>0.633122488178543</v>
      </c>
      <c r="U106" s="626">
        <v>0.63268088625060104</v>
      </c>
      <c r="V106" s="626">
        <v>0.63150481892179799</v>
      </c>
      <c r="W106" s="626">
        <v>0.62956980877378499</v>
      </c>
      <c r="X106" s="626">
        <v>0.62692201400015901</v>
      </c>
      <c r="Y106" s="626">
        <v>0.62362234200605204</v>
      </c>
      <c r="Z106" s="626">
        <v>0.61979221841217802</v>
      </c>
      <c r="AA106" s="626">
        <v>0.61559936963635897</v>
      </c>
      <c r="AB106" s="626">
        <v>0.61118556890919196</v>
      </c>
      <c r="AC106" s="626">
        <v>0.60657295679274303</v>
      </c>
      <c r="AD106" s="626">
        <v>0.60178483941740402</v>
      </c>
      <c r="AE106" s="626">
        <v>0.59705950259201801</v>
      </c>
      <c r="AF106" s="626">
        <v>0.59271918166005599</v>
      </c>
      <c r="AG106" s="626">
        <v>0.58896679717395894</v>
      </c>
    </row>
    <row r="107" spans="1:33" x14ac:dyDescent="0.3">
      <c r="A107" s="369" t="s">
        <v>341</v>
      </c>
      <c r="B107" s="370" t="s">
        <v>341</v>
      </c>
      <c r="C107" s="626">
        <v>0.598227395612837</v>
      </c>
      <c r="D107" s="626">
        <v>0.59234908671522801</v>
      </c>
      <c r="E107" s="626">
        <v>0.58622895225763505</v>
      </c>
      <c r="F107" s="626">
        <v>0.58005867015491996</v>
      </c>
      <c r="G107" s="626">
        <v>0.57409316090507501</v>
      </c>
      <c r="H107" s="626">
        <v>0.56842735157985103</v>
      </c>
      <c r="I107" s="626">
        <v>0.56362125317337297</v>
      </c>
      <c r="J107" s="626">
        <v>0.55862344461268498</v>
      </c>
      <c r="K107" s="626">
        <v>0.553401952877287</v>
      </c>
      <c r="L107" s="626">
        <v>0.54817815982620999</v>
      </c>
      <c r="M107" s="626">
        <v>0.54322067495223303</v>
      </c>
      <c r="N107" s="626">
        <v>0.53973698358275501</v>
      </c>
      <c r="O107" s="626">
        <v>0.53696208956315805</v>
      </c>
      <c r="P107" s="626">
        <v>0.534503176983396</v>
      </c>
      <c r="Q107" s="626">
        <v>0.53216708136194402</v>
      </c>
      <c r="R107" s="626">
        <v>0.52992184457188496</v>
      </c>
      <c r="S107" s="626">
        <v>0.53074960163463702</v>
      </c>
      <c r="T107" s="626">
        <v>0.53283563650338805</v>
      </c>
      <c r="U107" s="626">
        <v>0.53567085220509503</v>
      </c>
      <c r="V107" s="626">
        <v>0.53850733762791003</v>
      </c>
      <c r="W107" s="626">
        <v>0.54078317507274198</v>
      </c>
      <c r="X107" s="626">
        <v>0.54230928816358603</v>
      </c>
      <c r="Y107" s="626">
        <v>0.54321967765394397</v>
      </c>
      <c r="Z107" s="626">
        <v>0.54321483715082297</v>
      </c>
      <c r="AA107" s="626">
        <v>0.54196413021935097</v>
      </c>
      <c r="AB107" s="626">
        <v>0.53921605941077599</v>
      </c>
      <c r="AC107" s="626">
        <v>0.53454087946377904</v>
      </c>
      <c r="AD107" s="626">
        <v>0.52851899868337104</v>
      </c>
      <c r="AE107" s="626">
        <v>0.52173920630621196</v>
      </c>
      <c r="AF107" s="626">
        <v>0.51513177455361903</v>
      </c>
      <c r="AG107" s="626">
        <v>0.50927895733781003</v>
      </c>
    </row>
    <row r="108" spans="1:33" x14ac:dyDescent="0.3">
      <c r="A108" s="369" t="s">
        <v>361</v>
      </c>
      <c r="B108" s="370" t="s">
        <v>361</v>
      </c>
      <c r="C108" s="626">
        <v>0.60073830811995999</v>
      </c>
      <c r="D108" s="626">
        <v>0.59672150474958796</v>
      </c>
      <c r="E108" s="626">
        <v>0.59244891209905104</v>
      </c>
      <c r="F108" s="626">
        <v>0.58795437378605897</v>
      </c>
      <c r="G108" s="626">
        <v>0.58330306903317897</v>
      </c>
      <c r="H108" s="626">
        <v>0.57856335460185504</v>
      </c>
      <c r="I108" s="626">
        <v>0.57088811792167404</v>
      </c>
      <c r="J108" s="626">
        <v>0.56431949213433796</v>
      </c>
      <c r="K108" s="626">
        <v>0.55884883229280202</v>
      </c>
      <c r="L108" s="626">
        <v>0.55439141731711505</v>
      </c>
      <c r="M108" s="626">
        <v>0.55076734053814902</v>
      </c>
      <c r="N108" s="626">
        <v>0.54340060494151499</v>
      </c>
      <c r="O108" s="626">
        <v>0.53665962630532305</v>
      </c>
      <c r="P108" s="626">
        <v>0.53109588196954405</v>
      </c>
      <c r="Q108" s="626">
        <v>0.52683288249045301</v>
      </c>
      <c r="R108" s="626">
        <v>0.52385093018618001</v>
      </c>
      <c r="S108" s="626">
        <v>0.51906082878724302</v>
      </c>
      <c r="T108" s="626">
        <v>0.51546570623797705</v>
      </c>
      <c r="U108" s="626">
        <v>0.51308932209343205</v>
      </c>
      <c r="V108" s="626">
        <v>0.51191488040983302</v>
      </c>
      <c r="W108" s="626">
        <v>0.511842473203026</v>
      </c>
      <c r="X108" s="626">
        <v>0.51037496292812301</v>
      </c>
      <c r="Y108" s="626">
        <v>0.50926852053065397</v>
      </c>
      <c r="Z108" s="626">
        <v>0.50855420079508695</v>
      </c>
      <c r="AA108" s="626">
        <v>0.50820873881793305</v>
      </c>
      <c r="AB108" s="626">
        <v>0.50822729174982895</v>
      </c>
      <c r="AC108" s="626">
        <v>0.50802262458258396</v>
      </c>
      <c r="AD108" s="626">
        <v>0.50797788323083104</v>
      </c>
      <c r="AE108" s="626">
        <v>0.50810150071082905</v>
      </c>
      <c r="AF108" s="626">
        <v>0.50840441978069495</v>
      </c>
      <c r="AG108" s="626">
        <v>0.50890717046649903</v>
      </c>
    </row>
    <row r="109" spans="1:33" x14ac:dyDescent="0.3">
      <c r="A109" s="369" t="s">
        <v>75</v>
      </c>
      <c r="B109" s="370" t="s">
        <v>75</v>
      </c>
      <c r="C109" s="626">
        <v>0.68454833217530298</v>
      </c>
      <c r="D109" s="626">
        <v>0.68587008239742309</v>
      </c>
      <c r="E109" s="626">
        <v>0.68706735442191103</v>
      </c>
      <c r="F109" s="626">
        <v>0.68812104809346397</v>
      </c>
      <c r="G109" s="626">
        <v>0.68901509991732002</v>
      </c>
      <c r="H109" s="626">
        <v>0.68975253008295601</v>
      </c>
      <c r="I109" s="626">
        <v>0.69038872358336401</v>
      </c>
      <c r="J109" s="626">
        <v>0.690917430996282</v>
      </c>
      <c r="K109" s="626">
        <v>0.69136029566782597</v>
      </c>
      <c r="L109" s="626">
        <v>0.69153233125111102</v>
      </c>
      <c r="M109" s="626">
        <v>0.69136906359157413</v>
      </c>
      <c r="N109" s="626">
        <v>0.690911518739174</v>
      </c>
      <c r="O109" s="626">
        <v>0.69013436299731301</v>
      </c>
      <c r="P109" s="626">
        <v>0.68915576260314215</v>
      </c>
      <c r="Q109" s="626">
        <v>0.68813810657718311</v>
      </c>
      <c r="R109" s="626">
        <v>0.68716644743503197</v>
      </c>
      <c r="S109" s="626">
        <v>0.68621905116842696</v>
      </c>
      <c r="T109" s="626">
        <v>0.68527619954843499</v>
      </c>
      <c r="U109" s="626">
        <v>0.68424557141672504</v>
      </c>
      <c r="V109" s="626">
        <v>0.68300204542391396</v>
      </c>
      <c r="W109" s="626">
        <v>0.68146949114920796</v>
      </c>
      <c r="X109" s="626">
        <v>0.67966598638277997</v>
      </c>
      <c r="Y109" s="626">
        <v>0.67757862918876199</v>
      </c>
      <c r="Z109" s="626">
        <v>0.67521107664167501</v>
      </c>
      <c r="AA109" s="626">
        <v>0.67258288840242597</v>
      </c>
      <c r="AB109" s="626">
        <v>0.66970051324367086</v>
      </c>
      <c r="AC109" s="626">
        <v>0.66655231306556506</v>
      </c>
      <c r="AD109" s="626">
        <v>0.66314576976973494</v>
      </c>
      <c r="AE109" s="626">
        <v>0.65941999348774305</v>
      </c>
      <c r="AF109" s="626">
        <v>0.65529351628823096</v>
      </c>
      <c r="AG109" s="626">
        <v>0.65072753497066305</v>
      </c>
    </row>
    <row r="110" spans="1:33" x14ac:dyDescent="0.3">
      <c r="A110" s="369" t="s">
        <v>37</v>
      </c>
      <c r="B110" s="370" t="s">
        <v>37</v>
      </c>
      <c r="C110" s="626">
        <v>0.69214627647336402</v>
      </c>
      <c r="D110" s="626">
        <v>0.68768788724770802</v>
      </c>
      <c r="E110" s="626">
        <v>0.68267183764686801</v>
      </c>
      <c r="F110" s="626">
        <v>0.67752175365307299</v>
      </c>
      <c r="G110" s="626">
        <v>0.67281214121397714</v>
      </c>
      <c r="H110" s="626">
        <v>0.66885846100589608</v>
      </c>
      <c r="I110" s="626">
        <v>0.66595047190668888</v>
      </c>
      <c r="J110" s="626">
        <v>0.66360731619294999</v>
      </c>
      <c r="K110" s="626">
        <v>0.661645128757401</v>
      </c>
      <c r="L110" s="626">
        <v>0.65977356702674816</v>
      </c>
      <c r="M110" s="626">
        <v>0.65782053014043096</v>
      </c>
      <c r="N110" s="626">
        <v>0.65613513941056889</v>
      </c>
      <c r="O110" s="626">
        <v>0.65428126939970899</v>
      </c>
      <c r="P110" s="626">
        <v>0.65227438293935602</v>
      </c>
      <c r="Q110" s="626">
        <v>0.65015056144993399</v>
      </c>
      <c r="R110" s="626">
        <v>0.64794593222974195</v>
      </c>
      <c r="S110" s="626">
        <v>0.64587695361157604</v>
      </c>
      <c r="T110" s="626">
        <v>0.64346551050849199</v>
      </c>
      <c r="U110" s="626">
        <v>0.64074513300596114</v>
      </c>
      <c r="V110" s="626">
        <v>0.63763417367654995</v>
      </c>
      <c r="W110" s="626">
        <v>0.63412159595919204</v>
      </c>
      <c r="X110" s="626">
        <v>0.63038997605637503</v>
      </c>
      <c r="Y110" s="626">
        <v>0.62629979968490201</v>
      </c>
      <c r="Z110" s="626">
        <v>0.62208190091550797</v>
      </c>
      <c r="AA110" s="626">
        <v>0.61804772525826102</v>
      </c>
      <c r="AB110" s="626">
        <v>0.61435223021484797</v>
      </c>
      <c r="AC110" s="626">
        <v>0.610944408293286</v>
      </c>
      <c r="AD110" s="626">
        <v>0.60775833166863602</v>
      </c>
      <c r="AE110" s="626">
        <v>0.60468681645575895</v>
      </c>
      <c r="AF110" s="626">
        <v>0.60159177494398497</v>
      </c>
      <c r="AG110" s="626">
        <v>0.59839923438499898</v>
      </c>
    </row>
    <row r="111" spans="1:33" x14ac:dyDescent="0.3">
      <c r="A111" s="369" t="s">
        <v>310</v>
      </c>
      <c r="B111" s="370" t="s">
        <v>310</v>
      </c>
      <c r="C111" s="626">
        <v>0.60463095827645796</v>
      </c>
      <c r="D111" s="626">
        <v>0.60019996269245801</v>
      </c>
      <c r="E111" s="626">
        <v>0.59588994220734304</v>
      </c>
      <c r="F111" s="626">
        <v>0.59183405713187798</v>
      </c>
      <c r="G111" s="626">
        <v>0.58829634637318595</v>
      </c>
      <c r="H111" s="626">
        <v>0.58555375352113503</v>
      </c>
      <c r="I111" s="626">
        <v>0.58195014059172601</v>
      </c>
      <c r="J111" s="626">
        <v>0.57833353966712797</v>
      </c>
      <c r="K111" s="626">
        <v>0.57470567237072001</v>
      </c>
      <c r="L111" s="626">
        <v>0.57108643480739096</v>
      </c>
      <c r="M111" s="626">
        <v>0.56768557110631002</v>
      </c>
      <c r="N111" s="626">
        <v>0.56804337414322303</v>
      </c>
      <c r="O111" s="626">
        <v>0.56878315782474398</v>
      </c>
      <c r="P111" s="626">
        <v>0.56988395829082805</v>
      </c>
      <c r="Q111" s="626">
        <v>0.57131456008249104</v>
      </c>
      <c r="R111" s="626">
        <v>0.57304891542188596</v>
      </c>
      <c r="S111" s="626">
        <v>0.57479113657770198</v>
      </c>
      <c r="T111" s="626">
        <v>0.576748753531928</v>
      </c>
      <c r="U111" s="626">
        <v>0.57894827551989203</v>
      </c>
      <c r="V111" s="626">
        <v>0.58143346373044602</v>
      </c>
      <c r="W111" s="626">
        <v>0.58420700505787504</v>
      </c>
      <c r="X111" s="626">
        <v>0.58697118995188602</v>
      </c>
      <c r="Y111" s="626">
        <v>0.58990744241409399</v>
      </c>
      <c r="Z111" s="626">
        <v>0.59289261271547</v>
      </c>
      <c r="AA111" s="626">
        <v>0.59574669819072301</v>
      </c>
      <c r="AB111" s="626">
        <v>0.59832965814788797</v>
      </c>
      <c r="AC111" s="626">
        <v>0.60041769040801696</v>
      </c>
      <c r="AD111" s="626">
        <v>0.60218431615586698</v>
      </c>
      <c r="AE111" s="626">
        <v>0.60348532404606903</v>
      </c>
      <c r="AF111" s="626">
        <v>0.60413594530341796</v>
      </c>
      <c r="AG111" s="626">
        <v>0.60404487171815802</v>
      </c>
    </row>
    <row r="112" spans="1:33" x14ac:dyDescent="0.3">
      <c r="A112" s="370" t="s">
        <v>198</v>
      </c>
      <c r="B112" s="370" t="s">
        <v>198</v>
      </c>
      <c r="C112" s="626">
        <v>0.634814258288948</v>
      </c>
      <c r="D112" s="626">
        <v>0.62973994461276905</v>
      </c>
      <c r="E112" s="626">
        <v>0.62572110070227105</v>
      </c>
      <c r="F112" s="626">
        <v>0.62291346597534003</v>
      </c>
      <c r="G112" s="626">
        <v>0.62151656847520698</v>
      </c>
      <c r="H112" s="626">
        <v>0.62157951963574298</v>
      </c>
      <c r="I112" s="626">
        <v>0.62190196631370998</v>
      </c>
      <c r="J112" s="626">
        <v>0.62368823435606302</v>
      </c>
      <c r="K112" s="626">
        <v>0.62688977318563999</v>
      </c>
      <c r="L112" s="626">
        <v>0.63141626562547304</v>
      </c>
      <c r="M112" s="626">
        <v>0.63778604898828495</v>
      </c>
      <c r="N112" s="626">
        <v>0.64433963790484095</v>
      </c>
      <c r="O112" s="626">
        <v>0.65164354317845097</v>
      </c>
      <c r="P112" s="626">
        <v>0.65932167725065394</v>
      </c>
      <c r="Q112" s="626">
        <v>0.66681429374055901</v>
      </c>
      <c r="R112" s="626">
        <v>0.6734902210272069</v>
      </c>
      <c r="S112" s="626">
        <v>0.67824888535750705</v>
      </c>
      <c r="T112" s="626">
        <v>0.68227855131470405</v>
      </c>
      <c r="U112" s="626">
        <v>0.68516698981502899</v>
      </c>
      <c r="V112" s="626">
        <v>0.68636336822327204</v>
      </c>
      <c r="W112" s="626">
        <v>0.68555834571395902</v>
      </c>
      <c r="X112" s="626">
        <v>0.68240395895450801</v>
      </c>
      <c r="Y112" s="626">
        <v>0.67735010709042198</v>
      </c>
      <c r="Z112" s="626">
        <v>0.67104832081100296</v>
      </c>
      <c r="AA112" s="626">
        <v>0.66443906457478785</v>
      </c>
      <c r="AB112" s="626">
        <v>0.65811471213567008</v>
      </c>
      <c r="AC112" s="626">
        <v>0.65175466750646405</v>
      </c>
      <c r="AD112" s="626">
        <v>0.64566081026743605</v>
      </c>
      <c r="AE112" s="626">
        <v>0.63992895473103795</v>
      </c>
      <c r="AF112" s="626">
        <v>0.63461599159867499</v>
      </c>
      <c r="AG112" s="626">
        <v>0.62971519937564402</v>
      </c>
    </row>
    <row r="113" spans="1:33" x14ac:dyDescent="0.3">
      <c r="A113" s="369" t="s">
        <v>76</v>
      </c>
      <c r="B113" s="370" t="s">
        <v>76</v>
      </c>
      <c r="C113" s="626">
        <v>0.78740732433466187</v>
      </c>
      <c r="D113" s="626">
        <v>0.78854456030101605</v>
      </c>
      <c r="E113" s="626">
        <v>0.78973332290852805</v>
      </c>
      <c r="F113" s="626">
        <v>0.79088787727212595</v>
      </c>
      <c r="G113" s="626">
        <v>0.79190672962983299</v>
      </c>
      <c r="H113" s="626">
        <v>0.79272906424209599</v>
      </c>
      <c r="I113" s="626">
        <v>0.793450041699308</v>
      </c>
      <c r="J113" s="626">
        <v>0.79393741771868287</v>
      </c>
      <c r="K113" s="626">
        <v>0.794247010209573</v>
      </c>
      <c r="L113" s="626">
        <v>0.79447244989013599</v>
      </c>
      <c r="M113" s="626">
        <v>0.79466635050439505</v>
      </c>
      <c r="N113" s="626">
        <v>0.79492573458731797</v>
      </c>
      <c r="O113" s="626">
        <v>0.79502988995747004</v>
      </c>
      <c r="P113" s="626">
        <v>0.79490523041832806</v>
      </c>
      <c r="Q113" s="626">
        <v>0.79447630780730705</v>
      </c>
      <c r="R113" s="626">
        <v>0.79373928338036304</v>
      </c>
      <c r="S113" s="626">
        <v>0.79322313040711212</v>
      </c>
      <c r="T113" s="626">
        <v>0.79251650518225603</v>
      </c>
      <c r="U113" s="626">
        <v>0.79165426029984598</v>
      </c>
      <c r="V113" s="626">
        <v>0.79018512269449004</v>
      </c>
      <c r="W113" s="626">
        <v>0.78813792034733698</v>
      </c>
      <c r="X113" s="626">
        <v>0.78579398452134896</v>
      </c>
      <c r="Y113" s="626">
        <v>0.78285736059437516</v>
      </c>
      <c r="Z113" s="626">
        <v>0.77944265293552595</v>
      </c>
      <c r="AA113" s="626">
        <v>0.77572399506629997</v>
      </c>
      <c r="AB113" s="626">
        <v>0.77180602529189801</v>
      </c>
      <c r="AC113" s="626">
        <v>0.76788946763127897</v>
      </c>
      <c r="AD113" s="626">
        <v>0.76370845720478597</v>
      </c>
      <c r="AE113" s="626">
        <v>0.75917441924738815</v>
      </c>
      <c r="AF113" s="626">
        <v>0.75418058090864404</v>
      </c>
      <c r="AG113" s="626">
        <v>0.74866862304943216</v>
      </c>
    </row>
    <row r="114" spans="1:33" x14ac:dyDescent="0.3">
      <c r="A114" s="369" t="s">
        <v>350</v>
      </c>
      <c r="B114" s="370" t="s">
        <v>350</v>
      </c>
      <c r="C114" s="626">
        <v>0.564138378523935</v>
      </c>
      <c r="D114" s="626">
        <v>0.56273854344696195</v>
      </c>
      <c r="E114" s="626">
        <v>0.56197442382489204</v>
      </c>
      <c r="F114" s="626">
        <v>0.56169684932072494</v>
      </c>
      <c r="G114" s="626">
        <v>0.56153651631527401</v>
      </c>
      <c r="H114" s="626">
        <v>0.56113787527201098</v>
      </c>
      <c r="I114" s="626">
        <v>0.56089133568423699</v>
      </c>
      <c r="J114" s="626">
        <v>0.56067126138781598</v>
      </c>
      <c r="K114" s="626">
        <v>0.560776623874504</v>
      </c>
      <c r="L114" s="626">
        <v>0.561513144710309</v>
      </c>
      <c r="M114" s="626">
        <v>0.56305402508385605</v>
      </c>
      <c r="N114" s="626">
        <v>0.56371087424029898</v>
      </c>
      <c r="O114" s="626">
        <v>0.56537713227611797</v>
      </c>
      <c r="P114" s="626">
        <v>0.56814651366322799</v>
      </c>
      <c r="Q114" s="626">
        <v>0.57207905545411697</v>
      </c>
      <c r="R114" s="626">
        <v>0.57712288316872196</v>
      </c>
      <c r="S114" s="626">
        <v>0.58288706376010602</v>
      </c>
      <c r="T114" s="626">
        <v>0.58932033184820998</v>
      </c>
      <c r="U114" s="626">
        <v>0.59607037048436895</v>
      </c>
      <c r="V114" s="626">
        <v>0.60252424547904604</v>
      </c>
      <c r="W114" s="626">
        <v>0.60836212954838698</v>
      </c>
      <c r="X114" s="626">
        <v>0.61325989683139803</v>
      </c>
      <c r="Y114" s="626">
        <v>0.61735848028047402</v>
      </c>
      <c r="Z114" s="626">
        <v>0.62059597611603201</v>
      </c>
      <c r="AA114" s="626">
        <v>0.62301233104376796</v>
      </c>
      <c r="AB114" s="626">
        <v>0.62459946743181405</v>
      </c>
      <c r="AC114" s="626">
        <v>0.625240837082365</v>
      </c>
      <c r="AD114" s="626">
        <v>0.62485939899689602</v>
      </c>
      <c r="AE114" s="626">
        <v>0.62363029227105404</v>
      </c>
      <c r="AF114" s="626">
        <v>0.62172709934497805</v>
      </c>
      <c r="AG114" s="626">
        <v>0.61938126280765904</v>
      </c>
    </row>
    <row r="115" spans="1:33" x14ac:dyDescent="0.3">
      <c r="A115" s="369" t="s">
        <v>373</v>
      </c>
      <c r="B115" s="370" t="s">
        <v>373</v>
      </c>
      <c r="C115" s="626">
        <v>0.50492150382822099</v>
      </c>
      <c r="D115" s="626">
        <v>0.50870466577667595</v>
      </c>
      <c r="E115" s="626">
        <v>0.50997623602034803</v>
      </c>
      <c r="F115" s="626">
        <v>0.50931492670769596</v>
      </c>
      <c r="G115" s="626">
        <v>0.50786660642608505</v>
      </c>
      <c r="H115" s="626">
        <v>0.50626072249620802</v>
      </c>
      <c r="I115" s="626">
        <v>0.506560141096846</v>
      </c>
      <c r="J115" s="626">
        <v>0.50764180201826004</v>
      </c>
      <c r="K115" s="626">
        <v>0.508873806545455</v>
      </c>
      <c r="L115" s="626">
        <v>0.50987970980322805</v>
      </c>
      <c r="M115" s="626">
        <v>0.51068785930673199</v>
      </c>
      <c r="N115" s="626">
        <v>0.51338861939147096</v>
      </c>
      <c r="O115" s="626">
        <v>0.51565246730842995</v>
      </c>
      <c r="P115" s="626">
        <v>0.51661377457376001</v>
      </c>
      <c r="Q115" s="626">
        <v>0.516146562711709</v>
      </c>
      <c r="R115" s="626">
        <v>0.51481572206402704</v>
      </c>
      <c r="S115" s="626">
        <v>0.51054280305788102</v>
      </c>
      <c r="T115" s="626">
        <v>0.50692558331893001</v>
      </c>
      <c r="U115" s="626">
        <v>0.50384535235299299</v>
      </c>
      <c r="V115" s="626">
        <v>0.50093218657258198</v>
      </c>
      <c r="W115" s="626">
        <v>0.49799395670436197</v>
      </c>
      <c r="X115" s="626">
        <v>0.49529625291818602</v>
      </c>
      <c r="Y115" s="626">
        <v>0.49280606881891897</v>
      </c>
      <c r="Z115" s="626">
        <v>0.49095954935333802</v>
      </c>
      <c r="AA115" s="626">
        <v>0.490371</v>
      </c>
      <c r="AB115" s="626">
        <v>0.49142539260524598</v>
      </c>
      <c r="AC115" s="626">
        <v>0.494245372636263</v>
      </c>
      <c r="AD115" s="626">
        <v>0.49881634828777699</v>
      </c>
      <c r="AE115" s="626">
        <v>0.50453931820439701</v>
      </c>
      <c r="AF115" s="626">
        <v>0.51033785642642204</v>
      </c>
      <c r="AG115" s="626">
        <v>0.51554309702031698</v>
      </c>
    </row>
    <row r="116" spans="1:33" x14ac:dyDescent="0.3">
      <c r="A116" s="369" t="s">
        <v>77</v>
      </c>
      <c r="B116" s="370" t="s">
        <v>77</v>
      </c>
      <c r="C116" s="626">
        <v>0.60367640290336999</v>
      </c>
      <c r="D116" s="626">
        <v>0.60293154225773904</v>
      </c>
      <c r="E116" s="626">
        <v>0.60224039025488896</v>
      </c>
      <c r="F116" s="626">
        <v>0.60164541130575599</v>
      </c>
      <c r="G116" s="626">
        <v>0.60120314823360499</v>
      </c>
      <c r="H116" s="626">
        <v>0.60092882349209997</v>
      </c>
      <c r="I116" s="626">
        <v>0.60089395695563297</v>
      </c>
      <c r="J116" s="626">
        <v>0.60104697359885995</v>
      </c>
      <c r="K116" s="626">
        <v>0.60132759818300696</v>
      </c>
      <c r="L116" s="626">
        <v>0.60164421346748997</v>
      </c>
      <c r="M116" s="626">
        <v>0.60192792969464404</v>
      </c>
      <c r="N116" s="626">
        <v>0.60210386877545796</v>
      </c>
      <c r="O116" s="626">
        <v>0.60228182801166097</v>
      </c>
      <c r="P116" s="626">
        <v>0.60245983199431397</v>
      </c>
      <c r="Q116" s="626">
        <v>0.60262965889961295</v>
      </c>
      <c r="R116" s="626">
        <v>0.60277048592660498</v>
      </c>
      <c r="S116" s="626">
        <v>0.60262691810771696</v>
      </c>
      <c r="T116" s="626">
        <v>0.602261474459446</v>
      </c>
      <c r="U116" s="626">
        <v>0.60168114881734203</v>
      </c>
      <c r="V116" s="626">
        <v>0.600883302989487</v>
      </c>
      <c r="W116" s="626">
        <v>0.59985863491792901</v>
      </c>
      <c r="X116" s="626">
        <v>0.59844904825529899</v>
      </c>
      <c r="Y116" s="626">
        <v>0.59683135350154204</v>
      </c>
      <c r="Z116" s="626">
        <v>0.59499819502739903</v>
      </c>
      <c r="AA116" s="626">
        <v>0.59292103348893099</v>
      </c>
      <c r="AB116" s="626">
        <v>0.590590092751484</v>
      </c>
      <c r="AC116" s="626">
        <v>0.58789248308797504</v>
      </c>
      <c r="AD116" s="626">
        <v>0.58496271293889701</v>
      </c>
      <c r="AE116" s="626">
        <v>0.58188898748222995</v>
      </c>
      <c r="AF116" s="626">
        <v>0.57878487194581796</v>
      </c>
      <c r="AG116" s="626">
        <v>0.57571354727310298</v>
      </c>
    </row>
    <row r="117" spans="1:33" x14ac:dyDescent="0.3">
      <c r="A117" s="369" t="s">
        <v>287</v>
      </c>
      <c r="B117" s="370" t="s">
        <v>287</v>
      </c>
      <c r="C117" s="626">
        <v>0.62500811452443406</v>
      </c>
      <c r="D117" s="626">
        <v>0.62755840301548005</v>
      </c>
      <c r="E117" s="626">
        <v>0.63003021297040496</v>
      </c>
      <c r="F117" s="626">
        <v>0.63205810482357605</v>
      </c>
      <c r="G117" s="626">
        <v>0.63313555572828994</v>
      </c>
      <c r="H117" s="626">
        <v>0.63298952422013199</v>
      </c>
      <c r="I117" s="626">
        <v>0.63176614695856703</v>
      </c>
      <c r="J117" s="626">
        <v>0.62954161580107704</v>
      </c>
      <c r="K117" s="626">
        <v>0.62686781490401899</v>
      </c>
      <c r="L117" s="626">
        <v>0.62438840470238399</v>
      </c>
      <c r="M117" s="626">
        <v>0.62240302050271501</v>
      </c>
      <c r="N117" s="626">
        <v>0.62084973894283901</v>
      </c>
      <c r="O117" s="626">
        <v>0.61977532647407996</v>
      </c>
      <c r="P117" s="626">
        <v>0.61912262988579203</v>
      </c>
      <c r="Q117" s="626">
        <v>0.61862537904738302</v>
      </c>
      <c r="R117" s="626">
        <v>0.61803388846399998</v>
      </c>
      <c r="S117" s="626">
        <v>0.61750929998531101</v>
      </c>
      <c r="T117" s="626">
        <v>0.61701280760486699</v>
      </c>
      <c r="U117" s="626">
        <v>0.61670499502865905</v>
      </c>
      <c r="V117" s="626">
        <v>0.61686899901064696</v>
      </c>
      <c r="W117" s="626">
        <v>0.61765118929202001</v>
      </c>
      <c r="X117" s="626">
        <v>0.61894770427822099</v>
      </c>
      <c r="Y117" s="626">
        <v>0.62081597871990002</v>
      </c>
      <c r="Z117" s="626">
        <v>0.623052871392481</v>
      </c>
      <c r="AA117" s="626">
        <v>0.62534406823573496</v>
      </c>
      <c r="AB117" s="626">
        <v>0.62748275858820901</v>
      </c>
      <c r="AC117" s="626">
        <v>0.62944744454884505</v>
      </c>
      <c r="AD117" s="626">
        <v>0.63124981142327496</v>
      </c>
      <c r="AE117" s="626">
        <v>0.63291069257865995</v>
      </c>
      <c r="AF117" s="626">
        <v>0.63446711616151696</v>
      </c>
      <c r="AG117" s="626">
        <v>0.63590736728168296</v>
      </c>
    </row>
    <row r="118" spans="1:33" x14ac:dyDescent="0.3">
      <c r="A118" s="369" t="s">
        <v>288</v>
      </c>
      <c r="B118" s="370" t="s">
        <v>288</v>
      </c>
      <c r="C118" s="626">
        <v>0.520636331685573</v>
      </c>
      <c r="D118" s="626">
        <v>0.52056724766151796</v>
      </c>
      <c r="E118" s="626">
        <v>0.52091718822618105</v>
      </c>
      <c r="F118" s="626">
        <v>0.52199691017435401</v>
      </c>
      <c r="G118" s="626">
        <v>0.52421248977684298</v>
      </c>
      <c r="H118" s="626">
        <v>0.52758482556448205</v>
      </c>
      <c r="I118" s="626">
        <v>0.53132535850034501</v>
      </c>
      <c r="J118" s="626">
        <v>0.535612885875139</v>
      </c>
      <c r="K118" s="626">
        <v>0.53811138777004797</v>
      </c>
      <c r="L118" s="626">
        <v>0.54011683317177395</v>
      </c>
      <c r="M118" s="626">
        <v>0.54121974197765899</v>
      </c>
      <c r="N118" s="626">
        <v>0.54233807506280196</v>
      </c>
      <c r="O118" s="626">
        <v>0.54231499999999999</v>
      </c>
      <c r="P118" s="626">
        <v>0.54122292439600195</v>
      </c>
      <c r="Q118" s="626">
        <v>0.53943964127263599</v>
      </c>
      <c r="R118" s="626">
        <v>0.53724749739662103</v>
      </c>
      <c r="S118" s="626">
        <v>0.53490577667849104</v>
      </c>
      <c r="T118" s="626">
        <v>0.53262164253343602</v>
      </c>
      <c r="U118" s="626">
        <v>0.53029101475052898</v>
      </c>
      <c r="V118" s="626">
        <v>0.52780452448281001</v>
      </c>
      <c r="W118" s="626">
        <v>0.52514039380422395</v>
      </c>
      <c r="X118" s="626">
        <v>0.52232991147715502</v>
      </c>
      <c r="Y118" s="626">
        <v>0.51946904380196701</v>
      </c>
      <c r="Z118" s="626">
        <v>0.51679201476306602</v>
      </c>
      <c r="AA118" s="626">
        <v>0.51466109282338302</v>
      </c>
      <c r="AB118" s="626">
        <v>0.51328151797071797</v>
      </c>
      <c r="AC118" s="626">
        <v>0.51258258754272201</v>
      </c>
      <c r="AD118" s="626">
        <v>0.51250362629659096</v>
      </c>
      <c r="AE118" s="626">
        <v>0.512951415088857</v>
      </c>
      <c r="AF118" s="626">
        <v>0.51372303875263203</v>
      </c>
      <c r="AG118" s="626">
        <v>0.51470435640914103</v>
      </c>
    </row>
    <row r="119" spans="1:33" x14ac:dyDescent="0.3">
      <c r="A119" s="369" t="s">
        <v>381</v>
      </c>
      <c r="B119" s="370" t="s">
        <v>381</v>
      </c>
      <c r="C119" s="626">
        <v>0.59990575390135004</v>
      </c>
      <c r="D119" s="626">
        <v>0.60033372100734494</v>
      </c>
      <c r="E119" s="626">
        <v>0.60062618241334997</v>
      </c>
      <c r="F119" s="626">
        <v>0.60081001051604099</v>
      </c>
      <c r="G119" s="626">
        <v>0.60089557448095698</v>
      </c>
      <c r="H119" s="626">
        <v>0.60084392041587498</v>
      </c>
      <c r="I119" s="626">
        <v>0.60029288112261603</v>
      </c>
      <c r="J119" s="626">
        <v>0.59955021258543595</v>
      </c>
      <c r="K119" s="626">
        <v>0.59865064168216298</v>
      </c>
      <c r="L119" s="626">
        <v>0.59772285915369605</v>
      </c>
      <c r="M119" s="626">
        <v>0.59688521044592002</v>
      </c>
      <c r="N119" s="626">
        <v>0.596241550059325</v>
      </c>
      <c r="O119" s="626">
        <v>0.59578886081671001</v>
      </c>
      <c r="P119" s="626">
        <v>0.59543904509349599</v>
      </c>
      <c r="Q119" s="626">
        <v>0.59504788783254503</v>
      </c>
      <c r="R119" s="626">
        <v>0.594522935033448</v>
      </c>
      <c r="S119" s="626">
        <v>0.593668835643132</v>
      </c>
      <c r="T119" s="626">
        <v>0.59270404739212701</v>
      </c>
      <c r="U119" s="626">
        <v>0.591665855426181</v>
      </c>
      <c r="V119" s="626">
        <v>0.59061795096566705</v>
      </c>
      <c r="W119" s="626">
        <v>0.58959407826152299</v>
      </c>
      <c r="X119" s="626">
        <v>0.58858377527989603</v>
      </c>
      <c r="Y119" s="626">
        <v>0.58759972439724095</v>
      </c>
      <c r="Z119" s="626">
        <v>0.58659997762615801</v>
      </c>
      <c r="AA119" s="626">
        <v>0.58552271593545901</v>
      </c>
      <c r="AB119" s="626">
        <v>0.58433535785583701</v>
      </c>
      <c r="AC119" s="626">
        <v>0.58306033787268596</v>
      </c>
      <c r="AD119" s="626">
        <v>0.58170153979160999</v>
      </c>
      <c r="AE119" s="626">
        <v>0.58030491526616901</v>
      </c>
      <c r="AF119" s="626">
        <v>0.57894517827039005</v>
      </c>
      <c r="AG119" s="626">
        <v>0.57766858768066498</v>
      </c>
    </row>
    <row r="120" spans="1:33" x14ac:dyDescent="0.3">
      <c r="A120" s="369" t="s">
        <v>403</v>
      </c>
      <c r="B120" s="370" t="s">
        <v>403</v>
      </c>
      <c r="C120" s="626">
        <v>0.52412631103074103</v>
      </c>
      <c r="D120" s="626">
        <v>0.52100890942838696</v>
      </c>
      <c r="E120" s="626">
        <v>0.51813322665447503</v>
      </c>
      <c r="F120" s="626">
        <v>0.51508507783145496</v>
      </c>
      <c r="G120" s="626">
        <v>0.51118855442636901</v>
      </c>
      <c r="H120" s="626">
        <v>0.50628496961196801</v>
      </c>
      <c r="I120" s="626">
        <v>0.51344618164859501</v>
      </c>
      <c r="J120" s="626">
        <v>0.51980796777081495</v>
      </c>
      <c r="K120" s="626">
        <v>0.52468662268717303</v>
      </c>
      <c r="L120" s="626">
        <v>0.52794088635297798</v>
      </c>
      <c r="M120" s="626">
        <v>0.52964845437180796</v>
      </c>
      <c r="N120" s="626">
        <v>0.52670495714616605</v>
      </c>
      <c r="O120" s="626">
        <v>0.52401387865202698</v>
      </c>
      <c r="P120" s="626">
        <v>0.52199424388062998</v>
      </c>
      <c r="Q120" s="626">
        <v>0.52064390288493201</v>
      </c>
      <c r="R120" s="626">
        <v>0.520101684847176</v>
      </c>
      <c r="S120" s="626">
        <v>0.52111261529729003</v>
      </c>
      <c r="T120" s="626">
        <v>0.52304369562166697</v>
      </c>
      <c r="U120" s="626">
        <v>0.52540099460963297</v>
      </c>
      <c r="V120" s="626">
        <v>0.527712614196573</v>
      </c>
      <c r="W120" s="626">
        <v>0.52953383517684005</v>
      </c>
      <c r="X120" s="626">
        <v>0.53164631475786595</v>
      </c>
      <c r="Y120" s="626">
        <v>0.53337667948503598</v>
      </c>
      <c r="Z120" s="626">
        <v>0.53480692050679801</v>
      </c>
      <c r="AA120" s="626">
        <v>0.53619211275906098</v>
      </c>
      <c r="AB120" s="626">
        <v>0.53762059920236005</v>
      </c>
      <c r="AC120" s="626">
        <v>0.53962243089665796</v>
      </c>
      <c r="AD120" s="626">
        <v>0.54161756997455501</v>
      </c>
      <c r="AE120" s="626">
        <v>0.54348790238673295</v>
      </c>
      <c r="AF120" s="626">
        <v>0.54496149107170799</v>
      </c>
      <c r="AG120" s="626">
        <v>0.54590025134984199</v>
      </c>
    </row>
    <row r="121" spans="1:33" x14ac:dyDescent="0.3">
      <c r="A121" s="369" t="s">
        <v>78</v>
      </c>
      <c r="B121" s="370" t="s">
        <v>78</v>
      </c>
      <c r="C121" s="626">
        <v>0.60053164491585598</v>
      </c>
      <c r="D121" s="626">
        <v>0.59763416500342503</v>
      </c>
      <c r="E121" s="626">
        <v>0.59346441821150797</v>
      </c>
      <c r="F121" s="626">
        <v>0.58900648217089302</v>
      </c>
      <c r="G121" s="626">
        <v>0.585599456587238</v>
      </c>
      <c r="H121" s="626">
        <v>0.58393654733801204</v>
      </c>
      <c r="I121" s="626">
        <v>0.58387041445723997</v>
      </c>
      <c r="J121" s="626">
        <v>0.58524422607290305</v>
      </c>
      <c r="K121" s="626">
        <v>0.58769733575488203</v>
      </c>
      <c r="L121" s="626">
        <v>0.59069823549811995</v>
      </c>
      <c r="M121" s="626">
        <v>0.59392130111506003</v>
      </c>
      <c r="N121" s="626">
        <v>0.59668751501807005</v>
      </c>
      <c r="O121" s="626">
        <v>0.59977908513323497</v>
      </c>
      <c r="P121" s="626">
        <v>0.60297290665562697</v>
      </c>
      <c r="Q121" s="626">
        <v>0.60591729505872505</v>
      </c>
      <c r="R121" s="626">
        <v>0.60828240417084201</v>
      </c>
      <c r="S121" s="626">
        <v>0.60992529079617397</v>
      </c>
      <c r="T121" s="626">
        <v>0.61079940853086401</v>
      </c>
      <c r="U121" s="626">
        <v>0.61059674584037504</v>
      </c>
      <c r="V121" s="626">
        <v>0.60899348855847202</v>
      </c>
      <c r="W121" s="626">
        <v>0.60585783180932795</v>
      </c>
      <c r="X121" s="626">
        <v>0.60127913173324898</v>
      </c>
      <c r="Y121" s="626">
        <v>0.59542126572104004</v>
      </c>
      <c r="Z121" s="626">
        <v>0.58847053326597898</v>
      </c>
      <c r="AA121" s="626">
        <v>0.58068795989905098</v>
      </c>
      <c r="AB121" s="626">
        <v>0.57233113331336605</v>
      </c>
      <c r="AC121" s="626">
        <v>0.56350838318940399</v>
      </c>
      <c r="AD121" s="626">
        <v>0.55434612270087402</v>
      </c>
      <c r="AE121" s="626">
        <v>0.54541248371148798</v>
      </c>
      <c r="AF121" s="626">
        <v>0.537442324650931</v>
      </c>
      <c r="AG121" s="626">
        <v>0.53085909859910996</v>
      </c>
    </row>
    <row r="122" spans="1:33" x14ac:dyDescent="0.3">
      <c r="A122" s="369" t="s">
        <v>351</v>
      </c>
      <c r="B122" s="370" t="s">
        <v>351</v>
      </c>
      <c r="C122" s="626">
        <v>0.62141027159991602</v>
      </c>
      <c r="D122" s="626">
        <v>0.616140240831756</v>
      </c>
      <c r="E122" s="626">
        <v>0.611009468482137</v>
      </c>
      <c r="F122" s="626">
        <v>0.606133315313228</v>
      </c>
      <c r="G122" s="626">
        <v>0.60166428982843501</v>
      </c>
      <c r="H122" s="626">
        <v>0.59769140485761496</v>
      </c>
      <c r="I122" s="626">
        <v>0.59631289596597403</v>
      </c>
      <c r="J122" s="626">
        <v>0.59482281663812597</v>
      </c>
      <c r="K122" s="626">
        <v>0.59298890023633199</v>
      </c>
      <c r="L122" s="626">
        <v>0.59067529601616398</v>
      </c>
      <c r="M122" s="626">
        <v>0.58793649531756997</v>
      </c>
      <c r="N122" s="626">
        <v>0.58617454946306302</v>
      </c>
      <c r="O122" s="626">
        <v>0.58427452177099604</v>
      </c>
      <c r="P122" s="626">
        <v>0.58212822954315302</v>
      </c>
      <c r="Q122" s="626">
        <v>0.58016691870308001</v>
      </c>
      <c r="R122" s="626">
        <v>0.57840095455038498</v>
      </c>
      <c r="S122" s="626">
        <v>0.57714177539656097</v>
      </c>
      <c r="T122" s="626">
        <v>0.57644476689873403</v>
      </c>
      <c r="U122" s="626">
        <v>0.57604028860621004</v>
      </c>
      <c r="V122" s="626">
        <v>0.57551615235795295</v>
      </c>
      <c r="W122" s="626">
        <v>0.57462800853729901</v>
      </c>
      <c r="X122" s="626">
        <v>0.57349875768664105</v>
      </c>
      <c r="Y122" s="626">
        <v>0.57199452193796396</v>
      </c>
      <c r="Z122" s="626">
        <v>0.57024478627463304</v>
      </c>
      <c r="AA122" s="626">
        <v>0.56848857096692595</v>
      </c>
      <c r="AB122" s="626">
        <v>0.56689383199502397</v>
      </c>
      <c r="AC122" s="626">
        <v>0.56553438051209104</v>
      </c>
      <c r="AD122" s="626">
        <v>0.56433283113981703</v>
      </c>
      <c r="AE122" s="626">
        <v>0.56317810317964101</v>
      </c>
      <c r="AF122" s="626">
        <v>0.56188349570325602</v>
      </c>
      <c r="AG122" s="626">
        <v>0.56034335007147296</v>
      </c>
    </row>
    <row r="123" spans="1:33" x14ac:dyDescent="0.3">
      <c r="A123" s="369" t="s">
        <v>202</v>
      </c>
      <c r="B123" s="370" t="s">
        <v>202</v>
      </c>
      <c r="C123" s="626">
        <v>0.54094232811907295</v>
      </c>
      <c r="D123" s="626">
        <v>0.536999563451107</v>
      </c>
      <c r="E123" s="626">
        <v>0.53328199957563305</v>
      </c>
      <c r="F123" s="626">
        <v>0.52957835924462204</v>
      </c>
      <c r="G123" s="626">
        <v>0.52567136549861204</v>
      </c>
      <c r="H123" s="626">
        <v>0.52956120674287799</v>
      </c>
      <c r="I123" s="626">
        <v>0.53342185006931997</v>
      </c>
      <c r="J123" s="626">
        <v>0.53709368425737303</v>
      </c>
      <c r="K123" s="626">
        <v>0.54069151308090202</v>
      </c>
      <c r="L123" s="626">
        <v>0.54443883919472302</v>
      </c>
      <c r="M123" s="626">
        <v>0.54846374831799305</v>
      </c>
      <c r="N123" s="626">
        <v>0.55314348888746501</v>
      </c>
      <c r="O123" s="626">
        <v>0.558084623959479</v>
      </c>
      <c r="P123" s="626">
        <v>0.56308737231901196</v>
      </c>
      <c r="Q123" s="626">
        <v>0.567863180290341</v>
      </c>
      <c r="R123" s="626">
        <v>0.572218390106632</v>
      </c>
      <c r="S123" s="626">
        <v>0.576429125921192</v>
      </c>
      <c r="T123" s="626">
        <v>0.58030808012523505</v>
      </c>
      <c r="U123" s="626">
        <v>0.58382570916346299</v>
      </c>
      <c r="V123" s="626">
        <v>0.58684118143708097</v>
      </c>
      <c r="W123" s="626">
        <v>0.58933777394712406</v>
      </c>
      <c r="X123" s="626">
        <v>0.59126341024059903</v>
      </c>
      <c r="Y123" s="626">
        <v>0.59272871739466404</v>
      </c>
      <c r="Z123" s="626">
        <v>0.59364309512981195</v>
      </c>
      <c r="AA123" s="626">
        <v>0.59387900225432</v>
      </c>
      <c r="AB123" s="626">
        <v>0.59339954512399895</v>
      </c>
      <c r="AC123" s="626">
        <v>0.59241978111833504</v>
      </c>
      <c r="AD123" s="626">
        <v>0.59079402314782703</v>
      </c>
      <c r="AE123" s="626">
        <v>0.58877921313679005</v>
      </c>
      <c r="AF123" s="626">
        <v>0.58675910109887497</v>
      </c>
      <c r="AG123" s="626">
        <v>0.58497914919502703</v>
      </c>
    </row>
    <row r="124" spans="1:33" x14ac:dyDescent="0.3">
      <c r="A124" s="369" t="s">
        <v>38</v>
      </c>
      <c r="B124" s="370" t="s">
        <v>38</v>
      </c>
      <c r="C124" s="626">
        <v>0.70540094166947498</v>
      </c>
      <c r="D124" s="626">
        <v>0.70329656798578599</v>
      </c>
      <c r="E124" s="626">
        <v>0.70133395807643795</v>
      </c>
      <c r="F124" s="626">
        <v>0.69943045920680902</v>
      </c>
      <c r="G124" s="626">
        <v>0.69745668011959505</v>
      </c>
      <c r="H124" s="626">
        <v>0.69533337595340494</v>
      </c>
      <c r="I124" s="626">
        <v>0.69288362964167505</v>
      </c>
      <c r="J124" s="626">
        <v>0.69028266537816196</v>
      </c>
      <c r="K124" s="626">
        <v>0.68697711539333495</v>
      </c>
      <c r="L124" s="626">
        <v>0.68361386860810991</v>
      </c>
      <c r="M124" s="626">
        <v>0.68022118075455695</v>
      </c>
      <c r="N124" s="626">
        <v>0.67683046713426198</v>
      </c>
      <c r="O124" s="626">
        <v>0.67340870353326598</v>
      </c>
      <c r="P124" s="626">
        <v>0.66996225218171901</v>
      </c>
      <c r="Q124" s="626">
        <v>0.66648601301926602</v>
      </c>
      <c r="R124" s="626">
        <v>0.66298966369950885</v>
      </c>
      <c r="S124" s="626">
        <v>0.65966305549883009</v>
      </c>
      <c r="T124" s="626">
        <v>0.65630450682108699</v>
      </c>
      <c r="U124" s="626">
        <v>0.65276542099346402</v>
      </c>
      <c r="V124" s="626">
        <v>0.64912535268849392</v>
      </c>
      <c r="W124" s="626">
        <v>0.64544432706117205</v>
      </c>
      <c r="X124" s="626">
        <v>0.64170611620301699</v>
      </c>
      <c r="Y124" s="626">
        <v>0.637887780302829</v>
      </c>
      <c r="Z124" s="626">
        <v>0.63395537671195901</v>
      </c>
      <c r="AA124" s="626">
        <v>0.62985609063380499</v>
      </c>
      <c r="AB124" s="626">
        <v>0.62556324656024698</v>
      </c>
      <c r="AC124" s="626">
        <v>0.621104572977346</v>
      </c>
      <c r="AD124" s="626">
        <v>0.61648406250483301</v>
      </c>
      <c r="AE124" s="626">
        <v>0.61169825273362599</v>
      </c>
      <c r="AF124" s="626">
        <v>0.60673669145681297</v>
      </c>
      <c r="AG124" s="626">
        <v>0.60160237587246501</v>
      </c>
    </row>
    <row r="125" spans="1:33" x14ac:dyDescent="0.3">
      <c r="A125" s="369" t="s">
        <v>79</v>
      </c>
      <c r="B125" s="370" t="s">
        <v>79</v>
      </c>
      <c r="C125" s="626">
        <v>0.59548888373084097</v>
      </c>
      <c r="D125" s="626">
        <v>0.595564334507096</v>
      </c>
      <c r="E125" s="626">
        <v>0.59571826070650102</v>
      </c>
      <c r="F125" s="626">
        <v>0.595877494599235</v>
      </c>
      <c r="G125" s="626">
        <v>0.59597311868181202</v>
      </c>
      <c r="H125" s="626">
        <v>0.59594747999234698</v>
      </c>
      <c r="I125" s="626">
        <v>0.59688328805790702</v>
      </c>
      <c r="J125" s="626">
        <v>0.59748068348332795</v>
      </c>
      <c r="K125" s="626">
        <v>0.59754046354049895</v>
      </c>
      <c r="L125" s="626">
        <v>0.59692353550679</v>
      </c>
      <c r="M125" s="626">
        <v>0.59562236169210403</v>
      </c>
      <c r="N125" s="626">
        <v>0.59373026446913102</v>
      </c>
      <c r="O125" s="626">
        <v>0.59161317489814003</v>
      </c>
      <c r="P125" s="626">
        <v>0.58928703665437299</v>
      </c>
      <c r="Q125" s="626">
        <v>0.58676721612607996</v>
      </c>
      <c r="R125" s="626">
        <v>0.58398838011731002</v>
      </c>
      <c r="S125" s="626">
        <v>0.58193825261034804</v>
      </c>
      <c r="T125" s="626">
        <v>0.57976800769291303</v>
      </c>
      <c r="U125" s="626">
        <v>0.57758334710810699</v>
      </c>
      <c r="V125" s="626">
        <v>0.575564874533399</v>
      </c>
      <c r="W125" s="626">
        <v>0.57381977115145399</v>
      </c>
      <c r="X125" s="626">
        <v>0.57234351841214004</v>
      </c>
      <c r="Y125" s="626">
        <v>0.57124807878430595</v>
      </c>
      <c r="Z125" s="626">
        <v>0.57049139261497095</v>
      </c>
      <c r="AA125" s="626">
        <v>0.57000679787147002</v>
      </c>
      <c r="AB125" s="626">
        <v>0.56974199332048303</v>
      </c>
      <c r="AC125" s="626">
        <v>0.56967938497608706</v>
      </c>
      <c r="AD125" s="626">
        <v>0.56989351191674198</v>
      </c>
      <c r="AE125" s="626">
        <v>0.57026691933654505</v>
      </c>
      <c r="AF125" s="626">
        <v>0.57062922403970995</v>
      </c>
      <c r="AG125" s="626">
        <v>0.57086433476697196</v>
      </c>
    </row>
    <row r="126" spans="1:33" x14ac:dyDescent="0.3">
      <c r="A126" s="369" t="s">
        <v>204</v>
      </c>
      <c r="B126" s="370" t="s">
        <v>204</v>
      </c>
      <c r="C126" s="626">
        <v>0.402697521769875</v>
      </c>
      <c r="D126" s="626">
        <v>0.39773382664304102</v>
      </c>
      <c r="E126" s="626">
        <v>0.39237709941579801</v>
      </c>
      <c r="F126" s="626">
        <v>0.38671102302849603</v>
      </c>
      <c r="G126" s="626">
        <v>0.380864196927445</v>
      </c>
      <c r="H126" s="626">
        <v>0.37494410880273299</v>
      </c>
      <c r="I126" s="626">
        <v>0.37015724720224003</v>
      </c>
      <c r="J126" s="626">
        <v>0.36521795355177306</v>
      </c>
      <c r="K126" s="626">
        <v>0.36016333314122401</v>
      </c>
      <c r="L126" s="626">
        <v>0.35505795987730798</v>
      </c>
      <c r="M126" s="626">
        <v>0.34996454646896602</v>
      </c>
      <c r="N126" s="626">
        <v>0.34521674870198393</v>
      </c>
      <c r="O126" s="626">
        <v>0.340538891392209</v>
      </c>
      <c r="P126" s="626">
        <v>0.33599605668119997</v>
      </c>
      <c r="Q126" s="626">
        <v>0.33198942007736698</v>
      </c>
      <c r="R126" s="626">
        <v>0.32881631420087098</v>
      </c>
      <c r="S126" s="626">
        <v>0.32697170235021999</v>
      </c>
      <c r="T126" s="626">
        <v>0.32593066181383695</v>
      </c>
      <c r="U126" s="626">
        <v>0.32545213853317101</v>
      </c>
      <c r="V126" s="626">
        <v>0.325207254038759</v>
      </c>
      <c r="W126" s="626">
        <v>0.32500649649651092</v>
      </c>
      <c r="X126" s="626">
        <v>0.32509360109077301</v>
      </c>
      <c r="Y126" s="626">
        <v>0.325305093538933</v>
      </c>
      <c r="Z126" s="626">
        <v>0.32567604983659598</v>
      </c>
      <c r="AA126" s="626">
        <v>0.32626944769799093</v>
      </c>
      <c r="AB126" s="626">
        <v>0.32713766568082697</v>
      </c>
      <c r="AC126" s="626">
        <v>0.32840677137401092</v>
      </c>
      <c r="AD126" s="626">
        <v>0.32995445232765003</v>
      </c>
      <c r="AE126" s="626">
        <v>0.33186544440291399</v>
      </c>
      <c r="AF126" s="626">
        <v>0.33426507139209199</v>
      </c>
      <c r="AG126" s="626">
        <v>0.33724557389194998</v>
      </c>
    </row>
    <row r="127" spans="1:33" x14ac:dyDescent="0.3">
      <c r="A127" s="370" t="s">
        <v>80</v>
      </c>
      <c r="B127" s="370" t="s">
        <v>80</v>
      </c>
      <c r="C127" s="626">
        <v>0.78637465075698199</v>
      </c>
      <c r="D127" s="626">
        <v>0.78535810115363502</v>
      </c>
      <c r="E127" s="626">
        <v>0.78422435037796301</v>
      </c>
      <c r="F127" s="626">
        <v>0.78284360266863406</v>
      </c>
      <c r="G127" s="626">
        <v>0.78116226785230292</v>
      </c>
      <c r="H127" s="626">
        <v>0.77917473255671399</v>
      </c>
      <c r="I127" s="626">
        <v>0.77804409569062405</v>
      </c>
      <c r="J127" s="626">
        <v>0.77697293659632805</v>
      </c>
      <c r="K127" s="626">
        <v>0.77580661012670205</v>
      </c>
      <c r="L127" s="626">
        <v>0.77442571259429915</v>
      </c>
      <c r="M127" s="626">
        <v>0.77270928771037584</v>
      </c>
      <c r="N127" s="626">
        <v>0.77011470161064788</v>
      </c>
      <c r="O127" s="626">
        <v>0.76734597437053997</v>
      </c>
      <c r="P127" s="626">
        <v>0.76481379545480099</v>
      </c>
      <c r="Q127" s="626">
        <v>0.76311133863214498</v>
      </c>
      <c r="R127" s="626">
        <v>0.76257765020939994</v>
      </c>
      <c r="S127" s="626">
        <v>0.76426526642972803</v>
      </c>
      <c r="T127" s="626">
        <v>0.76719659628395287</v>
      </c>
      <c r="U127" s="626">
        <v>0.77063648020266795</v>
      </c>
      <c r="V127" s="626">
        <v>0.77403903838631005</v>
      </c>
      <c r="W127" s="626">
        <v>0.77713383200231501</v>
      </c>
      <c r="X127" s="626">
        <v>0.77925277806483095</v>
      </c>
      <c r="Y127" s="626">
        <v>0.78113789161455605</v>
      </c>
      <c r="Z127" s="626">
        <v>0.78270440550168108</v>
      </c>
      <c r="AA127" s="626">
        <v>0.78386202777814196</v>
      </c>
      <c r="AB127" s="626">
        <v>0.78454586466313703</v>
      </c>
      <c r="AC127" s="626">
        <v>0.78466714799998205</v>
      </c>
      <c r="AD127" s="626">
        <v>0.78426234502783299</v>
      </c>
      <c r="AE127" s="626">
        <v>0.78333379822874605</v>
      </c>
      <c r="AF127" s="626">
        <v>0.78191473053364702</v>
      </c>
      <c r="AG127" s="626">
        <v>0.78001056699199589</v>
      </c>
    </row>
    <row r="128" spans="1:33" x14ac:dyDescent="0.3">
      <c r="A128" s="369" t="s">
        <v>362</v>
      </c>
      <c r="B128" s="370" t="s">
        <v>362</v>
      </c>
      <c r="C128" s="626">
        <v>0.64598828877145986</v>
      </c>
      <c r="D128" s="626">
        <v>0.64189902844757596</v>
      </c>
      <c r="E128" s="626">
        <v>0.63754404762780703</v>
      </c>
      <c r="F128" s="626">
        <v>0.63301883167958595</v>
      </c>
      <c r="G128" s="626">
        <v>0.62839573429055195</v>
      </c>
      <c r="H128" s="626">
        <v>0.623705557667669</v>
      </c>
      <c r="I128" s="626">
        <v>0.617955283634821</v>
      </c>
      <c r="J128" s="626">
        <v>0.61210961550589305</v>
      </c>
      <c r="K128" s="626">
        <v>0.60634456880394305</v>
      </c>
      <c r="L128" s="626">
        <v>0.60078980516523095</v>
      </c>
      <c r="M128" s="626">
        <v>0.59548881253629804</v>
      </c>
      <c r="N128" s="626">
        <v>0.58980893425506398</v>
      </c>
      <c r="O128" s="626">
        <v>0.58370748114049298</v>
      </c>
      <c r="P128" s="626">
        <v>0.57798691854693895</v>
      </c>
      <c r="Q128" s="626">
        <v>0.57253208286198098</v>
      </c>
      <c r="R128" s="626">
        <v>0.56727007469134705</v>
      </c>
      <c r="S128" s="626">
        <v>0.56255328570305896</v>
      </c>
      <c r="T128" s="626">
        <v>0.55789933423153704</v>
      </c>
      <c r="U128" s="626">
        <v>0.55348302171966002</v>
      </c>
      <c r="V128" s="626">
        <v>0.54956125476442497</v>
      </c>
      <c r="W128" s="626">
        <v>0.54629309045336805</v>
      </c>
      <c r="X128" s="626">
        <v>0.543382460314913</v>
      </c>
      <c r="Y128" s="626">
        <v>0.54111631502818203</v>
      </c>
      <c r="Z128" s="626">
        <v>0.53946898843902402</v>
      </c>
      <c r="AA128" s="626">
        <v>0.53835896485069101</v>
      </c>
      <c r="AB128" s="626">
        <v>0.53771366543731303</v>
      </c>
      <c r="AC128" s="626">
        <v>0.53725803502282898</v>
      </c>
      <c r="AD128" s="626">
        <v>0.537240735532167</v>
      </c>
      <c r="AE128" s="626">
        <v>0.53759269180490599</v>
      </c>
      <c r="AF128" s="626">
        <v>0.53820926702372296</v>
      </c>
      <c r="AG128" s="626">
        <v>0.53900586063640599</v>
      </c>
    </row>
    <row r="129" spans="1:33" x14ac:dyDescent="0.3">
      <c r="A129" s="369" t="s">
        <v>398</v>
      </c>
      <c r="B129" s="370" t="s">
        <v>398</v>
      </c>
      <c r="C129" s="626">
        <v>0.40508443841847402</v>
      </c>
      <c r="D129" s="626">
        <v>0.40936589507230503</v>
      </c>
      <c r="E129" s="626">
        <v>0.41289969323610798</v>
      </c>
      <c r="F129" s="626">
        <v>0.41589321569720705</v>
      </c>
      <c r="G129" s="626">
        <v>0.41868695987530302</v>
      </c>
      <c r="H129" s="626">
        <v>0.42145708152474198</v>
      </c>
      <c r="I129" s="626">
        <v>0.425256558061821</v>
      </c>
      <c r="J129" s="626">
        <v>0.43044762863329999</v>
      </c>
      <c r="K129" s="626">
        <v>0.43695485064484002</v>
      </c>
      <c r="L129" s="626">
        <v>0.44419316117622398</v>
      </c>
      <c r="M129" s="626">
        <v>0.45136286020321598</v>
      </c>
      <c r="N129" s="626">
        <v>0.45403887205710702</v>
      </c>
      <c r="O129" s="626">
        <v>0.45545212018273401</v>
      </c>
      <c r="P129" s="626">
        <v>0.45612678923273092</v>
      </c>
      <c r="Q129" s="626">
        <v>0.45688848703087293</v>
      </c>
      <c r="R129" s="626">
        <v>0.458252406706328</v>
      </c>
      <c r="S129" s="626">
        <v>0.459887953832679</v>
      </c>
      <c r="T129" s="626">
        <v>0.46208225260764002</v>
      </c>
      <c r="U129" s="626">
        <v>0.46468380141051602</v>
      </c>
      <c r="V129" s="626">
        <v>0.46730384182204998</v>
      </c>
      <c r="W129" s="626">
        <v>0.469726061899088</v>
      </c>
      <c r="X129" s="626">
        <v>0.47185159447487895</v>
      </c>
      <c r="Y129" s="626">
        <v>0.47388800473424902</v>
      </c>
      <c r="Z129" s="626">
        <v>0.47594265465333502</v>
      </c>
      <c r="AA129" s="626">
        <v>0.47822488181855499</v>
      </c>
      <c r="AB129" s="626">
        <v>0.48082272199532899</v>
      </c>
      <c r="AC129" s="626">
        <v>0.483484664388876</v>
      </c>
      <c r="AD129" s="626">
        <v>0.48634487627720402</v>
      </c>
      <c r="AE129" s="626">
        <v>0.48949830364487101</v>
      </c>
      <c r="AF129" s="626">
        <v>0.49295738323530203</v>
      </c>
      <c r="AG129" s="626">
        <v>0.49683227534485108</v>
      </c>
    </row>
    <row r="130" spans="1:33" x14ac:dyDescent="0.3">
      <c r="A130" s="369" t="s">
        <v>395</v>
      </c>
      <c r="B130" s="370" t="s">
        <v>395</v>
      </c>
      <c r="C130" s="626">
        <v>0.59901856667104003</v>
      </c>
      <c r="D130" s="626">
        <v>0.59758479046347301</v>
      </c>
      <c r="E130" s="626">
        <v>0.59612392574906603</v>
      </c>
      <c r="F130" s="626">
        <v>0.59464268706576195</v>
      </c>
      <c r="G130" s="626">
        <v>0.59308132776275502</v>
      </c>
      <c r="H130" s="626">
        <v>0.59140174140746105</v>
      </c>
      <c r="I130" s="626">
        <v>0.58925873068131396</v>
      </c>
      <c r="J130" s="626">
        <v>0.58711353352579698</v>
      </c>
      <c r="K130" s="626">
        <v>0.58513955098781001</v>
      </c>
      <c r="L130" s="626">
        <v>0.58352886304370999</v>
      </c>
      <c r="M130" s="626">
        <v>0.58234338800447105</v>
      </c>
      <c r="N130" s="626">
        <v>0.58084622273155995</v>
      </c>
      <c r="O130" s="626">
        <v>0.57947573925071405</v>
      </c>
      <c r="P130" s="626">
        <v>0.57822406941511295</v>
      </c>
      <c r="Q130" s="626">
        <v>0.577115316627416</v>
      </c>
      <c r="R130" s="626">
        <v>0.576203929808911</v>
      </c>
      <c r="S130" s="626">
        <v>0.57596826932812095</v>
      </c>
      <c r="T130" s="626">
        <v>0.57614914237308201</v>
      </c>
      <c r="U130" s="626">
        <v>0.57651074242618605</v>
      </c>
      <c r="V130" s="626">
        <v>0.57669802742694698</v>
      </c>
      <c r="W130" s="626">
        <v>0.57649995015842204</v>
      </c>
      <c r="X130" s="626">
        <v>0.57574369647050905</v>
      </c>
      <c r="Y130" s="626">
        <v>0.57458791337168302</v>
      </c>
      <c r="Z130" s="626">
        <v>0.57323930092082998</v>
      </c>
      <c r="AA130" s="626">
        <v>0.57204388172279297</v>
      </c>
      <c r="AB130" s="626">
        <v>0.57121486630526597</v>
      </c>
      <c r="AC130" s="626">
        <v>0.57049464401465</v>
      </c>
      <c r="AD130" s="626">
        <v>0.57008252651645897</v>
      </c>
      <c r="AE130" s="626">
        <v>0.56991756510436198</v>
      </c>
      <c r="AF130" s="626">
        <v>0.56988806748592702</v>
      </c>
      <c r="AG130" s="626">
        <v>0.56992540072723796</v>
      </c>
    </row>
    <row r="131" spans="1:33" x14ac:dyDescent="0.3">
      <c r="A131" s="369" t="s">
        <v>81</v>
      </c>
      <c r="B131" s="370" t="s">
        <v>81</v>
      </c>
      <c r="C131" s="626">
        <v>0.561209926082608</v>
      </c>
      <c r="D131" s="626">
        <v>0.561190629650548</v>
      </c>
      <c r="E131" s="626">
        <v>0.56139448062495401</v>
      </c>
      <c r="F131" s="626">
        <v>0.56174725335930098</v>
      </c>
      <c r="G131" s="626">
        <v>0.56215237651960603</v>
      </c>
      <c r="H131" s="626">
        <v>0.56254821015332701</v>
      </c>
      <c r="I131" s="626">
        <v>0.56307278836865804</v>
      </c>
      <c r="J131" s="626">
        <v>0.56361298002559201</v>
      </c>
      <c r="K131" s="626">
        <v>0.56419827824648405</v>
      </c>
      <c r="L131" s="626">
        <v>0.56488608238902005</v>
      </c>
      <c r="M131" s="626">
        <v>0.56569137425651494</v>
      </c>
      <c r="N131" s="626">
        <v>0.56671816408001496</v>
      </c>
      <c r="O131" s="626">
        <v>0.56784989632259097</v>
      </c>
      <c r="P131" s="626">
        <v>0.568871670123277</v>
      </c>
      <c r="Q131" s="626">
        <v>0.56974348290249399</v>
      </c>
      <c r="R131" s="626">
        <v>0.57038413890492501</v>
      </c>
      <c r="S131" s="626">
        <v>0.57078315217957998</v>
      </c>
      <c r="T131" s="626">
        <v>0.57101307115881905</v>
      </c>
      <c r="U131" s="626">
        <v>0.57104088540134101</v>
      </c>
      <c r="V131" s="626">
        <v>0.57082770486718803</v>
      </c>
      <c r="W131" s="626">
        <v>0.57034715703435801</v>
      </c>
      <c r="X131" s="626">
        <v>0.56955239293452897</v>
      </c>
      <c r="Y131" s="626">
        <v>0.568532363991755</v>
      </c>
      <c r="Z131" s="626">
        <v>0.56732369399841398</v>
      </c>
      <c r="AA131" s="626">
        <v>0.56598553780675698</v>
      </c>
      <c r="AB131" s="626">
        <v>0.56455583912601703</v>
      </c>
      <c r="AC131" s="626">
        <v>0.56292283829900203</v>
      </c>
      <c r="AD131" s="626">
        <v>0.56123594618075001</v>
      </c>
      <c r="AE131" s="626">
        <v>0.55953530108526095</v>
      </c>
      <c r="AF131" s="626">
        <v>0.55787202894111598</v>
      </c>
      <c r="AG131" s="626">
        <v>0.55628314725669803</v>
      </c>
    </row>
    <row r="132" spans="1:33" x14ac:dyDescent="0.3">
      <c r="A132" s="369" t="s">
        <v>39</v>
      </c>
      <c r="B132" s="370" t="s">
        <v>39</v>
      </c>
      <c r="C132" s="626">
        <v>0.839515778059296</v>
      </c>
      <c r="D132" s="626">
        <v>0.83849951339336304</v>
      </c>
      <c r="E132" s="626">
        <v>0.84071771411429996</v>
      </c>
      <c r="F132" s="626">
        <v>0.84295501379511395</v>
      </c>
      <c r="G132" s="626">
        <v>0.84510369053957002</v>
      </c>
      <c r="H132" s="626">
        <v>0.84708202134148214</v>
      </c>
      <c r="I132" s="626">
        <v>0.84893715334194098</v>
      </c>
      <c r="J132" s="626">
        <v>0.85062719286212896</v>
      </c>
      <c r="K132" s="626">
        <v>0.85216866599372298</v>
      </c>
      <c r="L132" s="626">
        <v>0.85358941570465485</v>
      </c>
      <c r="M132" s="626">
        <v>0.85490500715832196</v>
      </c>
      <c r="N132" s="626">
        <v>0.85615125021403504</v>
      </c>
      <c r="O132" s="626">
        <v>0.85730580059929096</v>
      </c>
      <c r="P132" s="626">
        <v>0.85735934304607497</v>
      </c>
      <c r="Q132" s="626">
        <v>0.85685714079653297</v>
      </c>
      <c r="R132" s="626">
        <v>0.85584544809376395</v>
      </c>
      <c r="S132" s="626">
        <v>0.85435924260081197</v>
      </c>
      <c r="T132" s="626">
        <v>0.85239297474448095</v>
      </c>
      <c r="U132" s="626">
        <v>0.84996751396523795</v>
      </c>
      <c r="V132" s="626">
        <v>0.84709604234940794</v>
      </c>
      <c r="W132" s="626">
        <v>0.84378700061523104</v>
      </c>
      <c r="X132" s="626">
        <v>0.84005472583326712</v>
      </c>
      <c r="Y132" s="626">
        <v>0.83588378542450803</v>
      </c>
      <c r="Z132" s="626">
        <v>0.83127870175318597</v>
      </c>
      <c r="AA132" s="626">
        <v>0.82623627460104798</v>
      </c>
      <c r="AB132" s="626">
        <v>0.82075458375569699</v>
      </c>
      <c r="AC132" s="626">
        <v>0.81484279649276503</v>
      </c>
      <c r="AD132" s="626">
        <v>0.80846524252617702</v>
      </c>
      <c r="AE132" s="626">
        <v>0.80163652265262297</v>
      </c>
      <c r="AF132" s="626">
        <v>0.79436920779819209</v>
      </c>
      <c r="AG132" s="626">
        <v>0.78667138756406996</v>
      </c>
    </row>
    <row r="133" spans="1:33" x14ac:dyDescent="0.3">
      <c r="A133" s="369" t="s">
        <v>40</v>
      </c>
      <c r="B133" s="370" t="s">
        <v>40</v>
      </c>
      <c r="C133" s="626">
        <v>0.71362474403284804</v>
      </c>
      <c r="D133" s="626">
        <v>0.71028283904270495</v>
      </c>
      <c r="E133" s="626">
        <v>0.70707390206105303</v>
      </c>
      <c r="F133" s="626">
        <v>0.70393842537860596</v>
      </c>
      <c r="G133" s="626">
        <v>0.70082966258038903</v>
      </c>
      <c r="H133" s="626">
        <v>0.6977284604384999</v>
      </c>
      <c r="I133" s="626">
        <v>0.69481791392147796</v>
      </c>
      <c r="J133" s="626">
        <v>0.69187103445479314</v>
      </c>
      <c r="K133" s="626">
        <v>0.68881627911212295</v>
      </c>
      <c r="L133" s="626">
        <v>0.688432378279074</v>
      </c>
      <c r="M133" s="626">
        <v>0.68782017165730802</v>
      </c>
      <c r="N133" s="626">
        <v>0.68717833320212196</v>
      </c>
      <c r="O133" s="626">
        <v>0.68629576288524285</v>
      </c>
      <c r="P133" s="626">
        <v>0.68514555312115599</v>
      </c>
      <c r="Q133" s="626">
        <v>0.68373084764770498</v>
      </c>
      <c r="R133" s="626">
        <v>0.68209229821607498</v>
      </c>
      <c r="S133" s="626">
        <v>0.68044674831348895</v>
      </c>
      <c r="T133" s="626">
        <v>0.67859478570666898</v>
      </c>
      <c r="U133" s="626">
        <v>0.67659378590632402</v>
      </c>
      <c r="V133" s="626">
        <v>0.67432994563885107</v>
      </c>
      <c r="W133" s="626">
        <v>0.67180996494127798</v>
      </c>
      <c r="X133" s="626">
        <v>0.66923303026714909</v>
      </c>
      <c r="Y133" s="626">
        <v>0.66642695676529196</v>
      </c>
      <c r="Z133" s="626">
        <v>0.66337017524839803</v>
      </c>
      <c r="AA133" s="626">
        <v>0.660047965051759</v>
      </c>
      <c r="AB133" s="626">
        <v>0.65648209697535198</v>
      </c>
      <c r="AC133" s="626">
        <v>0.65285348665718301</v>
      </c>
      <c r="AD133" s="626">
        <v>0.64897130925817703</v>
      </c>
      <c r="AE133" s="626">
        <v>0.64487175387985085</v>
      </c>
      <c r="AF133" s="626">
        <v>0.64063459915169996</v>
      </c>
      <c r="AG133" s="626">
        <v>0.63631667814201298</v>
      </c>
    </row>
    <row r="134" spans="1:33" x14ac:dyDescent="0.3">
      <c r="A134" s="369" t="s">
        <v>342</v>
      </c>
      <c r="B134" s="370" t="s">
        <v>342</v>
      </c>
      <c r="C134" s="626">
        <v>0.602728940187364</v>
      </c>
      <c r="D134" s="626">
        <v>0.59829381521430003</v>
      </c>
      <c r="E134" s="626">
        <v>0.59342892991203999</v>
      </c>
      <c r="F134" s="626">
        <v>0.58824038271971502</v>
      </c>
      <c r="G134" s="626">
        <v>0.58281826765200295</v>
      </c>
      <c r="H134" s="626">
        <v>0.57720258085770804</v>
      </c>
      <c r="I134" s="626">
        <v>0.57050395576514001</v>
      </c>
      <c r="J134" s="626">
        <v>0.56386466206756403</v>
      </c>
      <c r="K134" s="626">
        <v>0.55744400539055505</v>
      </c>
      <c r="L134" s="626">
        <v>0.55146636023013496</v>
      </c>
      <c r="M134" s="626">
        <v>0.546060436148049</v>
      </c>
      <c r="N134" s="626">
        <v>0.53971568814543802</v>
      </c>
      <c r="O134" s="626">
        <v>0.53359677018996599</v>
      </c>
      <c r="P134" s="626">
        <v>0.52861263048096396</v>
      </c>
      <c r="Q134" s="626">
        <v>0.524653610871611</v>
      </c>
      <c r="R134" s="626">
        <v>0.52156232975471395</v>
      </c>
      <c r="S134" s="626">
        <v>0.51760793297089003</v>
      </c>
      <c r="T134" s="626">
        <v>0.51410115938941103</v>
      </c>
      <c r="U134" s="626">
        <v>0.51102868730511897</v>
      </c>
      <c r="V134" s="626">
        <v>0.50832668701486206</v>
      </c>
      <c r="W134" s="626">
        <v>0.50597575695646502</v>
      </c>
      <c r="X134" s="626">
        <v>0.50329571830257502</v>
      </c>
      <c r="Y134" s="626">
        <v>0.50084700827096096</v>
      </c>
      <c r="Z134" s="626">
        <v>0.49878759939029199</v>
      </c>
      <c r="AA134" s="626">
        <v>0.49731419987605607</v>
      </c>
      <c r="AB134" s="626">
        <v>0.49655905326101307</v>
      </c>
      <c r="AC134" s="626">
        <v>0.49582978185183602</v>
      </c>
      <c r="AD134" s="626">
        <v>0.49566524873369</v>
      </c>
      <c r="AE134" s="626">
        <v>0.49607569859908102</v>
      </c>
      <c r="AF134" s="626">
        <v>0.49702692761165401</v>
      </c>
      <c r="AG134" s="626">
        <v>0.498500247028489</v>
      </c>
    </row>
    <row r="135" spans="1:33" x14ac:dyDescent="0.3">
      <c r="A135" s="369" t="s">
        <v>318</v>
      </c>
      <c r="B135" s="370" t="s">
        <v>318</v>
      </c>
      <c r="C135" s="626">
        <v>0.60432048722309295</v>
      </c>
      <c r="D135" s="626">
        <v>0.59555700097980702</v>
      </c>
      <c r="E135" s="626">
        <v>0.58718133887291601</v>
      </c>
      <c r="F135" s="626">
        <v>0.57914098117666002</v>
      </c>
      <c r="G135" s="626">
        <v>0.57136153602031103</v>
      </c>
      <c r="H135" s="626">
        <v>0.56386619758161804</v>
      </c>
      <c r="I135" s="626">
        <v>0.55853114601549803</v>
      </c>
      <c r="J135" s="626">
        <v>0.555006113472028</v>
      </c>
      <c r="K135" s="626">
        <v>0.55341196383708602</v>
      </c>
      <c r="L135" s="626">
        <v>0.55372495930990795</v>
      </c>
      <c r="M135" s="626">
        <v>0.55566151727084601</v>
      </c>
      <c r="N135" s="626">
        <v>0.55235505702325405</v>
      </c>
      <c r="O135" s="626">
        <v>0.55205650778475801</v>
      </c>
      <c r="P135" s="626">
        <v>0.55457045634722502</v>
      </c>
      <c r="Q135" s="626">
        <v>0.55913812301386501</v>
      </c>
      <c r="R135" s="626">
        <v>0.56474008333858705</v>
      </c>
      <c r="S135" s="626">
        <v>0.56550572156781098</v>
      </c>
      <c r="T135" s="626">
        <v>0.56646462156430299</v>
      </c>
      <c r="U135" s="626">
        <v>0.56777734202524699</v>
      </c>
      <c r="V135" s="626">
        <v>0.56935093613933996</v>
      </c>
      <c r="W135" s="626">
        <v>0.57088046851570395</v>
      </c>
      <c r="X135" s="626">
        <v>0.56968728250740996</v>
      </c>
      <c r="Y135" s="626">
        <v>0.56769796925154303</v>
      </c>
      <c r="Z135" s="626">
        <v>0.56514359422027305</v>
      </c>
      <c r="AA135" s="626">
        <v>0.56211472901201398</v>
      </c>
      <c r="AB135" s="626">
        <v>0.55857473648508305</v>
      </c>
      <c r="AC135" s="626">
        <v>0.55374931246883297</v>
      </c>
      <c r="AD135" s="626">
        <v>0.54818602316799003</v>
      </c>
      <c r="AE135" s="626">
        <v>0.54210424244598499</v>
      </c>
      <c r="AF135" s="626">
        <v>0.53563204548871202</v>
      </c>
      <c r="AG135" s="626">
        <v>0.528878749624208</v>
      </c>
    </row>
    <row r="136" spans="1:33" x14ac:dyDescent="0.3">
      <c r="A136" s="370" t="s">
        <v>41</v>
      </c>
      <c r="B136" s="370" t="s">
        <v>41</v>
      </c>
      <c r="C136" s="626">
        <v>0.66116412223750898</v>
      </c>
      <c r="D136" s="626">
        <v>0.65688759256590601</v>
      </c>
      <c r="E136" s="626">
        <v>0.65261647677123702</v>
      </c>
      <c r="F136" s="626">
        <v>0.64838853497279503</v>
      </c>
      <c r="G136" s="626">
        <v>0.64425848028885502</v>
      </c>
      <c r="H136" s="626">
        <v>0.64026342089979105</v>
      </c>
      <c r="I136" s="626">
        <v>0.636390857882282</v>
      </c>
      <c r="J136" s="626">
        <v>0.63268718234894905</v>
      </c>
      <c r="K136" s="626">
        <v>0.63271801804168504</v>
      </c>
      <c r="L136" s="626">
        <v>0.63310461528720896</v>
      </c>
      <c r="M136" s="626">
        <v>0.63388988052770301</v>
      </c>
      <c r="N136" s="626">
        <v>0.63511163848977903</v>
      </c>
      <c r="O136" s="626">
        <v>0.636619268281991</v>
      </c>
      <c r="P136" s="626">
        <v>0.63837452205348399</v>
      </c>
      <c r="Q136" s="626">
        <v>0.640342516096856</v>
      </c>
      <c r="R136" s="626">
        <v>0.64248293975581094</v>
      </c>
      <c r="S136" s="626">
        <v>0.64488974739468796</v>
      </c>
      <c r="T136" s="626">
        <v>0.64742598372607385</v>
      </c>
      <c r="U136" s="626">
        <v>0.64996592102029416</v>
      </c>
      <c r="V136" s="626">
        <v>0.65223240816092998</v>
      </c>
      <c r="W136" s="626">
        <v>0.65402241196163402</v>
      </c>
      <c r="X136" s="626">
        <v>0.65543043753614294</v>
      </c>
      <c r="Y136" s="626">
        <v>0.65637795514448594</v>
      </c>
      <c r="Z136" s="626">
        <v>0.65683253653323304</v>
      </c>
      <c r="AA136" s="626">
        <v>0.65677981292488596</v>
      </c>
      <c r="AB136" s="626">
        <v>0.65621784875868694</v>
      </c>
      <c r="AC136" s="626">
        <v>0.65521211953976999</v>
      </c>
      <c r="AD136" s="626">
        <v>0.65375411705017294</v>
      </c>
      <c r="AE136" s="626">
        <v>0.65182523567723305</v>
      </c>
      <c r="AF136" s="626">
        <v>0.64940811835412604</v>
      </c>
      <c r="AG136" s="626">
        <v>0.6465108482119859</v>
      </c>
    </row>
    <row r="137" spans="1:33" x14ac:dyDescent="0.3">
      <c r="A137" s="369" t="s">
        <v>382</v>
      </c>
      <c r="B137" s="370" t="s">
        <v>382</v>
      </c>
      <c r="C137" s="626">
        <v>0.577890263241993</v>
      </c>
      <c r="D137" s="626">
        <v>0.57867733175262304</v>
      </c>
      <c r="E137" s="626">
        <v>0.57928414326038902</v>
      </c>
      <c r="F137" s="626">
        <v>0.57974979371777902</v>
      </c>
      <c r="G137" s="626">
        <v>0.58014723284731495</v>
      </c>
      <c r="H137" s="626">
        <v>0.58051457336598</v>
      </c>
      <c r="I137" s="626">
        <v>0.58079408787939801</v>
      </c>
      <c r="J137" s="626">
        <v>0.58105600505077204</v>
      </c>
      <c r="K137" s="626">
        <v>0.58125036386430196</v>
      </c>
      <c r="L137" s="626">
        <v>0.58129453442288104</v>
      </c>
      <c r="M137" s="626">
        <v>0.58114984783382295</v>
      </c>
      <c r="N137" s="626">
        <v>0.58074336274764304</v>
      </c>
      <c r="O137" s="626">
        <v>0.58012488402507201</v>
      </c>
      <c r="P137" s="626">
        <v>0.579378596172897</v>
      </c>
      <c r="Q137" s="626">
        <v>0.578631665068566</v>
      </c>
      <c r="R137" s="626">
        <v>0.57796216350611096</v>
      </c>
      <c r="S137" s="626">
        <v>0.57724817165655995</v>
      </c>
      <c r="T137" s="626">
        <v>0.57663875392489305</v>
      </c>
      <c r="U137" s="626">
        <v>0.57608637896137505</v>
      </c>
      <c r="V137" s="626">
        <v>0.57551734103406005</v>
      </c>
      <c r="W137" s="626">
        <v>0.574890526309074</v>
      </c>
      <c r="X137" s="626">
        <v>0.574072776287607</v>
      </c>
      <c r="Y137" s="626">
        <v>0.573208035243296</v>
      </c>
      <c r="Z137" s="626">
        <v>0.57229401455849105</v>
      </c>
      <c r="AA137" s="626">
        <v>0.57132725763873204</v>
      </c>
      <c r="AB137" s="626">
        <v>0.57031406519969197</v>
      </c>
      <c r="AC137" s="626">
        <v>0.56914435791826101</v>
      </c>
      <c r="AD137" s="626">
        <v>0.56790272490125204</v>
      </c>
      <c r="AE137" s="626">
        <v>0.56664549720660995</v>
      </c>
      <c r="AF137" s="626">
        <v>0.56545709192653104</v>
      </c>
      <c r="AG137" s="626">
        <v>0.56439100980105195</v>
      </c>
    </row>
    <row r="138" spans="1:33" x14ac:dyDescent="0.3">
      <c r="A138" s="369" t="s">
        <v>82</v>
      </c>
      <c r="B138" s="370" t="s">
        <v>82</v>
      </c>
      <c r="C138" s="626">
        <v>0.67468719620711104</v>
      </c>
      <c r="D138" s="626">
        <v>0.67446863962750792</v>
      </c>
      <c r="E138" s="626">
        <v>0.67443362462184298</v>
      </c>
      <c r="F138" s="626">
        <v>0.67445602880578703</v>
      </c>
      <c r="G138" s="626">
        <v>0.67436653484602105</v>
      </c>
      <c r="H138" s="626">
        <v>0.67405437864798101</v>
      </c>
      <c r="I138" s="626">
        <v>0.67353264647703004</v>
      </c>
      <c r="J138" s="626">
        <v>0.67285544524171892</v>
      </c>
      <c r="K138" s="626">
        <v>0.67194922787757205</v>
      </c>
      <c r="L138" s="626">
        <v>0.67071749424324389</v>
      </c>
      <c r="M138" s="626">
        <v>0.66912516656438203</v>
      </c>
      <c r="N138" s="626">
        <v>0.66720463131402896</v>
      </c>
      <c r="O138" s="626">
        <v>0.66494913747436402</v>
      </c>
      <c r="P138" s="626">
        <v>0.66255160135421287</v>
      </c>
      <c r="Q138" s="626">
        <v>0.66028061442959396</v>
      </c>
      <c r="R138" s="626">
        <v>0.65829198128145905</v>
      </c>
      <c r="S138" s="626">
        <v>0.65654452107613115</v>
      </c>
      <c r="T138" s="626">
        <v>0.654666223917168</v>
      </c>
      <c r="U138" s="626">
        <v>0.65283745822906003</v>
      </c>
      <c r="V138" s="626">
        <v>0.65097943190903096</v>
      </c>
      <c r="W138" s="626">
        <v>0.64904956950526715</v>
      </c>
      <c r="X138" s="626">
        <v>0.64705400045460015</v>
      </c>
      <c r="Y138" s="626">
        <v>0.64500335515260299</v>
      </c>
      <c r="Z138" s="626">
        <v>0.64289334564759104</v>
      </c>
      <c r="AA138" s="626">
        <v>0.64072430370146805</v>
      </c>
      <c r="AB138" s="626">
        <v>0.638487348486241</v>
      </c>
      <c r="AC138" s="626">
        <v>0.63615162572795703</v>
      </c>
      <c r="AD138" s="626">
        <v>0.63373723508859503</v>
      </c>
      <c r="AE138" s="626">
        <v>0.63119225455438999</v>
      </c>
      <c r="AF138" s="626">
        <v>0.62845448077254495</v>
      </c>
      <c r="AG138" s="626">
        <v>0.62548689360377796</v>
      </c>
    </row>
    <row r="139" spans="1:33" x14ac:dyDescent="0.3">
      <c r="A139" s="369" t="s">
        <v>206</v>
      </c>
      <c r="B139" s="370" t="s">
        <v>206</v>
      </c>
      <c r="C139" s="626">
        <v>0.54704498107807897</v>
      </c>
      <c r="D139" s="626">
        <v>0.54667412523502501</v>
      </c>
      <c r="E139" s="626">
        <v>0.54638760580178503</v>
      </c>
      <c r="F139" s="626">
        <v>0.54623896923341098</v>
      </c>
      <c r="G139" s="626">
        <v>0.54629651871560203</v>
      </c>
      <c r="H139" s="626">
        <v>0.54660881481231405</v>
      </c>
      <c r="I139" s="626">
        <v>0.54717986946184904</v>
      </c>
      <c r="J139" s="626">
        <v>0.54808407512353197</v>
      </c>
      <c r="K139" s="626">
        <v>0.54923354935574498</v>
      </c>
      <c r="L139" s="626">
        <v>0.55051309119397995</v>
      </c>
      <c r="M139" s="626">
        <v>0.55187060334439697</v>
      </c>
      <c r="N139" s="626">
        <v>0.55366955571466003</v>
      </c>
      <c r="O139" s="626">
        <v>0.55549419972774705</v>
      </c>
      <c r="P139" s="626">
        <v>0.55744435112903601</v>
      </c>
      <c r="Q139" s="626">
        <v>0.55962651407293196</v>
      </c>
      <c r="R139" s="626">
        <v>0.56207238126745895</v>
      </c>
      <c r="S139" s="626">
        <v>0.564928772887904</v>
      </c>
      <c r="T139" s="626">
        <v>0.56799776411059899</v>
      </c>
      <c r="U139" s="626">
        <v>0.57104817487708204</v>
      </c>
      <c r="V139" s="626">
        <v>0.57374317495321903</v>
      </c>
      <c r="W139" s="626">
        <v>0.57588459311170903</v>
      </c>
      <c r="X139" s="626">
        <v>0.57764507730979597</v>
      </c>
      <c r="Y139" s="626">
        <v>0.57886238118462596</v>
      </c>
      <c r="Z139" s="626">
        <v>0.57964043013040201</v>
      </c>
      <c r="AA139" s="626">
        <v>0.58016793304175496</v>
      </c>
      <c r="AB139" s="626">
        <v>0.58056072110274604</v>
      </c>
      <c r="AC139" s="626">
        <v>0.580912165218326</v>
      </c>
      <c r="AD139" s="626">
        <v>0.58110835046577503</v>
      </c>
      <c r="AE139" s="626">
        <v>0.58107407968553604</v>
      </c>
      <c r="AF139" s="626">
        <v>0.58069670317126099</v>
      </c>
      <c r="AG139" s="626">
        <v>0.57992613664008497</v>
      </c>
    </row>
    <row r="140" spans="1:33" x14ac:dyDescent="0.3">
      <c r="A140" s="369" t="s">
        <v>207</v>
      </c>
      <c r="B140" s="370" t="s">
        <v>207</v>
      </c>
      <c r="C140" s="626">
        <v>0.55955574738283198</v>
      </c>
      <c r="D140" s="626">
        <v>0.55821968090306395</v>
      </c>
      <c r="E140" s="626">
        <v>0.55686206155590701</v>
      </c>
      <c r="F140" s="626">
        <v>0.55557134525588803</v>
      </c>
      <c r="G140" s="626">
        <v>0.55438935092416597</v>
      </c>
      <c r="H140" s="626">
        <v>0.55325664986043499</v>
      </c>
      <c r="I140" s="626">
        <v>0.55295917920442395</v>
      </c>
      <c r="J140" s="626">
        <v>0.55272306366993995</v>
      </c>
      <c r="K140" s="626">
        <v>0.55458573228024699</v>
      </c>
      <c r="L140" s="626">
        <v>0.55650315786702398</v>
      </c>
      <c r="M140" s="626">
        <v>0.55834082702982402</v>
      </c>
      <c r="N140" s="626">
        <v>0.55967308931596005</v>
      </c>
      <c r="O140" s="626">
        <v>0.56099431744056205</v>
      </c>
      <c r="P140" s="626">
        <v>0.56235884852412898</v>
      </c>
      <c r="Q140" s="626">
        <v>0.56376367299576002</v>
      </c>
      <c r="R140" s="626">
        <v>0.56506467164516105</v>
      </c>
      <c r="S140" s="626">
        <v>0.56594247585221602</v>
      </c>
      <c r="T140" s="626">
        <v>0.56781760256400704</v>
      </c>
      <c r="U140" s="626">
        <v>0.57064700604248897</v>
      </c>
      <c r="V140" s="626">
        <v>0.57399036317059204</v>
      </c>
      <c r="W140" s="626">
        <v>0.57733164374706503</v>
      </c>
      <c r="X140" s="626">
        <v>0.57822241388779705</v>
      </c>
      <c r="Y140" s="626">
        <v>0.57817443732393603</v>
      </c>
      <c r="Z140" s="626">
        <v>0.57752608236869596</v>
      </c>
      <c r="AA140" s="626">
        <v>0.57683959948849595</v>
      </c>
      <c r="AB140" s="626">
        <v>0.57645167496815997</v>
      </c>
      <c r="AC140" s="626">
        <v>0.57634806695777896</v>
      </c>
      <c r="AD140" s="626">
        <v>0.57651936103203305</v>
      </c>
      <c r="AE140" s="626">
        <v>0.57673425647033405</v>
      </c>
      <c r="AF140" s="626">
        <v>0.57660343351129595</v>
      </c>
      <c r="AG140" s="626">
        <v>0.57590150045868704</v>
      </c>
    </row>
    <row r="141" spans="1:33" x14ac:dyDescent="0.3">
      <c r="A141" s="369" t="s">
        <v>42</v>
      </c>
      <c r="B141" s="370" t="s">
        <v>42</v>
      </c>
      <c r="C141" s="626">
        <v>0.61620662419280503</v>
      </c>
      <c r="D141" s="626">
        <v>0.61567604337543302</v>
      </c>
      <c r="E141" s="626">
        <v>0.61483395029799204</v>
      </c>
      <c r="F141" s="626">
        <v>0.61381753008961704</v>
      </c>
      <c r="G141" s="626">
        <v>0.61284944624924098</v>
      </c>
      <c r="H141" s="626">
        <v>0.61206002970380202</v>
      </c>
      <c r="I141" s="626">
        <v>0.61294822494020196</v>
      </c>
      <c r="J141" s="626">
        <v>0.61361323951741997</v>
      </c>
      <c r="K141" s="626">
        <v>0.613835973701788</v>
      </c>
      <c r="L141" s="626">
        <v>0.61203521739448496</v>
      </c>
      <c r="M141" s="626">
        <v>0.61014454190406198</v>
      </c>
      <c r="N141" s="626">
        <v>0.60808250191915503</v>
      </c>
      <c r="O141" s="626">
        <v>0.60635982447608205</v>
      </c>
      <c r="P141" s="626">
        <v>0.60491999051904</v>
      </c>
      <c r="Q141" s="626">
        <v>0.60369101362271105</v>
      </c>
      <c r="R141" s="626">
        <v>0.60262485463013304</v>
      </c>
      <c r="S141" s="626">
        <v>0.60185596006436204</v>
      </c>
      <c r="T141" s="626">
        <v>0.60129850598990497</v>
      </c>
      <c r="U141" s="626">
        <v>0.60080040262550405</v>
      </c>
      <c r="V141" s="626">
        <v>0.60023536568424096</v>
      </c>
      <c r="W141" s="626">
        <v>0.59950412419603705</v>
      </c>
      <c r="X141" s="626">
        <v>0.59869149976022695</v>
      </c>
      <c r="Y141" s="626">
        <v>0.59778394128443502</v>
      </c>
      <c r="Z141" s="626">
        <v>0.59672608710019803</v>
      </c>
      <c r="AA141" s="626">
        <v>0.595453841735607</v>
      </c>
      <c r="AB141" s="626">
        <v>0.59394910053377303</v>
      </c>
      <c r="AC141" s="626">
        <v>0.59227486771353599</v>
      </c>
      <c r="AD141" s="626">
        <v>0.59032982855155502</v>
      </c>
      <c r="AE141" s="626">
        <v>0.58837150794595305</v>
      </c>
      <c r="AF141" s="626">
        <v>0.58679003399947904</v>
      </c>
      <c r="AG141" s="626">
        <v>0.58579333839514902</v>
      </c>
    </row>
    <row r="142" spans="1:33" x14ac:dyDescent="0.3">
      <c r="A142" s="369" t="s">
        <v>329</v>
      </c>
      <c r="B142" s="370" t="s">
        <v>329</v>
      </c>
      <c r="C142" s="626">
        <v>0.58880126335507499</v>
      </c>
      <c r="D142" s="626">
        <v>0.58459980034850401</v>
      </c>
      <c r="E142" s="626">
        <v>0.58131128405814603</v>
      </c>
      <c r="F142" s="626">
        <v>0.57873254662531604</v>
      </c>
      <c r="G142" s="626">
        <v>0.57656434743711205</v>
      </c>
      <c r="H142" s="626">
        <v>0.57460346811784901</v>
      </c>
      <c r="I142" s="626">
        <v>0.57334906303500799</v>
      </c>
      <c r="J142" s="626">
        <v>0.57233175197687003</v>
      </c>
      <c r="K142" s="626">
        <v>0.57162505075554204</v>
      </c>
      <c r="L142" s="626">
        <v>0.57139058598196502</v>
      </c>
      <c r="M142" s="626">
        <v>0.57171542315742396</v>
      </c>
      <c r="N142" s="626">
        <v>0.57212491876221205</v>
      </c>
      <c r="O142" s="626">
        <v>0.57298662619848095</v>
      </c>
      <c r="P142" s="626">
        <v>0.57437730828418498</v>
      </c>
      <c r="Q142" s="626">
        <v>0.57608805908375504</v>
      </c>
      <c r="R142" s="626">
        <v>0.57794774464998999</v>
      </c>
      <c r="S142" s="626">
        <v>0.58012593894287601</v>
      </c>
      <c r="T142" s="626">
        <v>0.58248930440950697</v>
      </c>
      <c r="U142" s="626">
        <v>0.58468215229849996</v>
      </c>
      <c r="V142" s="626">
        <v>0.58618847220697901</v>
      </c>
      <c r="W142" s="626">
        <v>0.58667474511268403</v>
      </c>
      <c r="X142" s="626">
        <v>0.58620825315681702</v>
      </c>
      <c r="Y142" s="626">
        <v>0.58460670546529303</v>
      </c>
      <c r="Z142" s="626">
        <v>0.58212835725009604</v>
      </c>
      <c r="AA142" s="626">
        <v>0.57924460298200597</v>
      </c>
      <c r="AB142" s="626">
        <v>0.57626907560521901</v>
      </c>
      <c r="AC142" s="626">
        <v>0.57315361609466298</v>
      </c>
      <c r="AD142" s="626">
        <v>0.56992985844309996</v>
      </c>
      <c r="AE142" s="626">
        <v>0.56660495165206504</v>
      </c>
      <c r="AF142" s="626">
        <v>0.563141212109181</v>
      </c>
      <c r="AG142" s="626">
        <v>0.55953801001288295</v>
      </c>
    </row>
    <row r="143" spans="1:33" x14ac:dyDescent="0.3">
      <c r="A143" s="369" t="s">
        <v>352</v>
      </c>
      <c r="B143" s="370" t="s">
        <v>352</v>
      </c>
      <c r="C143" s="626">
        <v>0.61062638305095096</v>
      </c>
      <c r="D143" s="626">
        <v>0.60851936852381905</v>
      </c>
      <c r="E143" s="626">
        <v>0.607231940788307</v>
      </c>
      <c r="F143" s="626">
        <v>0.60617796420483405</v>
      </c>
      <c r="G143" s="626">
        <v>0.60507260059976897</v>
      </c>
      <c r="H143" s="626">
        <v>0.603717330552203</v>
      </c>
      <c r="I143" s="626">
        <v>0.60232083140172699</v>
      </c>
      <c r="J143" s="626">
        <v>0.60032502931860399</v>
      </c>
      <c r="K143" s="626">
        <v>0.59761948687467803</v>
      </c>
      <c r="L143" s="626">
        <v>0.59411311669534195</v>
      </c>
      <c r="M143" s="626">
        <v>0.58975545141051</v>
      </c>
      <c r="N143" s="626">
        <v>0.58519687322724401</v>
      </c>
      <c r="O143" s="626">
        <v>0.57993135608563595</v>
      </c>
      <c r="P143" s="626">
        <v>0.574474079948747</v>
      </c>
      <c r="Q143" s="626">
        <v>0.569061808695839</v>
      </c>
      <c r="R143" s="626">
        <v>0.56384817431922996</v>
      </c>
      <c r="S143" s="626">
        <v>0.55877766710403898</v>
      </c>
      <c r="T143" s="626">
        <v>0.553977137290663</v>
      </c>
      <c r="U143" s="626">
        <v>0.54939400665811</v>
      </c>
      <c r="V143" s="626">
        <v>0.54491391977568604</v>
      </c>
      <c r="W143" s="626">
        <v>0.54047251134684404</v>
      </c>
      <c r="X143" s="626">
        <v>0.53577228208549599</v>
      </c>
      <c r="Y143" s="626">
        <v>0.53121252916045902</v>
      </c>
      <c r="Z143" s="626">
        <v>0.52691540170260498</v>
      </c>
      <c r="AA143" s="626">
        <v>0.52306812223937404</v>
      </c>
      <c r="AB143" s="626">
        <v>0.51980894963160995</v>
      </c>
      <c r="AC143" s="626">
        <v>0.51697530106543299</v>
      </c>
      <c r="AD143" s="626">
        <v>0.51475402316463903</v>
      </c>
      <c r="AE143" s="626">
        <v>0.51317644718356803</v>
      </c>
      <c r="AF143" s="626">
        <v>0.512250175465499</v>
      </c>
      <c r="AG143" s="626">
        <v>0.51197785446405097</v>
      </c>
    </row>
    <row r="144" spans="1:33" x14ac:dyDescent="0.3">
      <c r="A144" s="369" t="s">
        <v>374</v>
      </c>
      <c r="B144" s="370" t="s">
        <v>374</v>
      </c>
      <c r="C144" s="626">
        <v>0.51951832777875495</v>
      </c>
      <c r="D144" s="626">
        <v>0.51803745730449702</v>
      </c>
      <c r="E144" s="626">
        <v>0.51658675203948101</v>
      </c>
      <c r="F144" s="626">
        <v>0.51497439978373105</v>
      </c>
      <c r="G144" s="626">
        <v>0.51311008606506303</v>
      </c>
      <c r="H144" s="626">
        <v>0.51107709919546795</v>
      </c>
      <c r="I144" s="626">
        <v>0.51011112752322796</v>
      </c>
      <c r="J144" s="626">
        <v>0.50899628915129302</v>
      </c>
      <c r="K144" s="626">
        <v>0.50763932392220901</v>
      </c>
      <c r="L144" s="626">
        <v>0.50617447231495805</v>
      </c>
      <c r="M144" s="626">
        <v>0.50485094689721</v>
      </c>
      <c r="N144" s="626">
        <v>0.50578631712372801</v>
      </c>
      <c r="O144" s="626">
        <v>0.50695347104432198</v>
      </c>
      <c r="P144" s="626">
        <v>0.50810082914750099</v>
      </c>
      <c r="Q144" s="626">
        <v>0.50892009001413197</v>
      </c>
      <c r="R144" s="626">
        <v>0.50917064068104201</v>
      </c>
      <c r="S144" s="626">
        <v>0.51265729843980501</v>
      </c>
      <c r="T144" s="626">
        <v>0.51569839756467095</v>
      </c>
      <c r="U144" s="626">
        <v>0.517832322741972</v>
      </c>
      <c r="V144" s="626">
        <v>0.51857706173768503</v>
      </c>
      <c r="W144" s="626">
        <v>0.51740623243478301</v>
      </c>
      <c r="X144" s="626">
        <v>0.51066512755417703</v>
      </c>
      <c r="Y144" s="626">
        <v>0.50403584911291199</v>
      </c>
      <c r="Z144" s="626">
        <v>0.49819557495136102</v>
      </c>
      <c r="AA144" s="626">
        <v>0.49396310182359399</v>
      </c>
      <c r="AB144" s="626">
        <v>0.491820357497674</v>
      </c>
      <c r="AC144" s="626">
        <v>0.49126687560110599</v>
      </c>
      <c r="AD144" s="626">
        <v>0.49244412714577401</v>
      </c>
      <c r="AE144" s="626">
        <v>0.49533047173553102</v>
      </c>
      <c r="AF144" s="626">
        <v>0.49980020277425602</v>
      </c>
      <c r="AG144" s="626">
        <v>0.50574375932443505</v>
      </c>
    </row>
    <row r="145" spans="1:33" x14ac:dyDescent="0.3">
      <c r="A145" s="369" t="s">
        <v>319</v>
      </c>
      <c r="B145" s="370" t="s">
        <v>319</v>
      </c>
      <c r="C145" s="626">
        <v>0.63373735045427804</v>
      </c>
      <c r="D145" s="626">
        <v>0.62619256272758395</v>
      </c>
      <c r="E145" s="626">
        <v>0.62286104167596601</v>
      </c>
      <c r="F145" s="626">
        <v>0.62241701615746803</v>
      </c>
      <c r="G145" s="626">
        <v>0.62391778306763501</v>
      </c>
      <c r="H145" s="626">
        <v>0.62677646649229701</v>
      </c>
      <c r="I145" s="626">
        <v>0.61370487991664502</v>
      </c>
      <c r="J145" s="626">
        <v>0.60930430432716098</v>
      </c>
      <c r="K145" s="626">
        <v>0.61153925322317204</v>
      </c>
      <c r="L145" s="626">
        <v>0.61833284482758599</v>
      </c>
      <c r="M145" s="626">
        <v>0.62769800323704905</v>
      </c>
      <c r="N145" s="626">
        <v>0.62183427421302595</v>
      </c>
      <c r="O145" s="626">
        <v>0.61969651242836699</v>
      </c>
      <c r="P145" s="626">
        <v>0.62117580220336499</v>
      </c>
      <c r="Q145" s="626">
        <v>0.625304997940481</v>
      </c>
      <c r="R145" s="626">
        <v>0.63072360413958595</v>
      </c>
      <c r="S145" s="626">
        <v>0.62774790216555298</v>
      </c>
      <c r="T145" s="626">
        <v>0.62495935403258096</v>
      </c>
      <c r="U145" s="626">
        <v>0.62299547331470395</v>
      </c>
      <c r="V145" s="626">
        <v>0.62218972114460802</v>
      </c>
      <c r="W145" s="626">
        <v>0.622410017263483</v>
      </c>
      <c r="X145" s="626">
        <v>0.61536009518372103</v>
      </c>
      <c r="Y145" s="626">
        <v>0.60911108163596295</v>
      </c>
      <c r="Z145" s="626">
        <v>0.60441694097841603</v>
      </c>
      <c r="AA145" s="626">
        <v>0.60152371214505596</v>
      </c>
      <c r="AB145" s="626">
        <v>0.60021302456325498</v>
      </c>
      <c r="AC145" s="626">
        <v>0.59871000249120698</v>
      </c>
      <c r="AD145" s="626">
        <v>0.59722063051532503</v>
      </c>
      <c r="AE145" s="626">
        <v>0.596009676126525</v>
      </c>
      <c r="AF145" s="626">
        <v>0.59515202018886104</v>
      </c>
      <c r="AG145" s="626">
        <v>0.59455559140002201</v>
      </c>
    </row>
    <row r="146" spans="1:33" x14ac:dyDescent="0.3">
      <c r="A146" s="369" t="s">
        <v>303</v>
      </c>
      <c r="B146" s="370" t="s">
        <v>303</v>
      </c>
      <c r="C146" s="626">
        <v>0.55746183040305297</v>
      </c>
      <c r="D146" s="626">
        <v>0.56000226252352503</v>
      </c>
      <c r="E146" s="626">
        <v>0.56334858313154201</v>
      </c>
      <c r="F146" s="626">
        <v>0.56686213437021304</v>
      </c>
      <c r="G146" s="626">
        <v>0.56954951472878301</v>
      </c>
      <c r="H146" s="626">
        <v>0.57079303394772896</v>
      </c>
      <c r="I146" s="626">
        <v>0.57087903214726499</v>
      </c>
      <c r="J146" s="626">
        <v>0.56937668240376904</v>
      </c>
      <c r="K146" s="626">
        <v>0.56660984874287301</v>
      </c>
      <c r="L146" s="626">
        <v>0.56322544572731104</v>
      </c>
      <c r="M146" s="626">
        <v>0.55967832902336201</v>
      </c>
      <c r="N146" s="626">
        <v>0.55495238132162195</v>
      </c>
      <c r="O146" s="626">
        <v>0.55050653137857497</v>
      </c>
      <c r="P146" s="626">
        <v>0.54638852531433402</v>
      </c>
      <c r="Q146" s="626">
        <v>0.54271073368894696</v>
      </c>
      <c r="R146" s="626">
        <v>0.53961763239197102</v>
      </c>
      <c r="S146" s="626">
        <v>0.53759814980718301</v>
      </c>
      <c r="T146" s="626">
        <v>0.536115364578997</v>
      </c>
      <c r="U146" s="626">
        <v>0.53508821354130898</v>
      </c>
      <c r="V146" s="626">
        <v>0.53435719599713005</v>
      </c>
      <c r="W146" s="626">
        <v>0.53380689123853198</v>
      </c>
      <c r="X146" s="626">
        <v>0.53337557588690498</v>
      </c>
      <c r="Y146" s="626">
        <v>0.53313804536742804</v>
      </c>
      <c r="Z146" s="626">
        <v>0.53306358519615704</v>
      </c>
      <c r="AA146" s="626">
        <v>0.53313151063004804</v>
      </c>
      <c r="AB146" s="626">
        <v>0.53333155123019904</v>
      </c>
      <c r="AC146" s="626">
        <v>0.53354844887348096</v>
      </c>
      <c r="AD146" s="626">
        <v>0.53387748884410502</v>
      </c>
      <c r="AE146" s="626">
        <v>0.53428031106164997</v>
      </c>
      <c r="AF146" s="626">
        <v>0.53471583771245101</v>
      </c>
      <c r="AG146" s="626">
        <v>0.53518283804247602</v>
      </c>
    </row>
    <row r="147" spans="1:33" x14ac:dyDescent="0.3">
      <c r="A147" s="369" t="s">
        <v>330</v>
      </c>
      <c r="B147" s="370" t="s">
        <v>330</v>
      </c>
      <c r="C147" s="626">
        <v>0.66519652715423905</v>
      </c>
      <c r="D147" s="626">
        <v>0.66305617659489702</v>
      </c>
      <c r="E147" s="626">
        <v>0.66086100473283305</v>
      </c>
      <c r="F147" s="626">
        <v>0.65912861835632397</v>
      </c>
      <c r="G147" s="626">
        <v>0.658614217527829</v>
      </c>
      <c r="H147" s="626">
        <v>0.65975121727841501</v>
      </c>
      <c r="I147" s="626">
        <v>0.66191176349687797</v>
      </c>
      <c r="J147" s="626">
        <v>0.66500598826911206</v>
      </c>
      <c r="K147" s="626">
        <v>0.66881699419974905</v>
      </c>
      <c r="L147" s="626">
        <v>0.67291168575123095</v>
      </c>
      <c r="M147" s="626">
        <v>0.67706992764087004</v>
      </c>
      <c r="N147" s="626">
        <v>0.68299264020908101</v>
      </c>
      <c r="O147" s="626">
        <v>0.68961163206614495</v>
      </c>
      <c r="P147" s="626">
        <v>0.69649071457924605</v>
      </c>
      <c r="Q147" s="626">
        <v>0.7031756359933109</v>
      </c>
      <c r="R147" s="626">
        <v>0.70937974574861395</v>
      </c>
      <c r="S147" s="626">
        <v>0.71491711558957505</v>
      </c>
      <c r="T147" s="626">
        <v>0.7196592348692179</v>
      </c>
      <c r="U147" s="626">
        <v>0.72340202629911698</v>
      </c>
      <c r="V147" s="626">
        <v>0.72595221951140698</v>
      </c>
      <c r="W147" s="626">
        <v>0.72721035615076002</v>
      </c>
      <c r="X147" s="626">
        <v>0.72714966951206705</v>
      </c>
      <c r="Y147" s="626">
        <v>0.72569015368398804</v>
      </c>
      <c r="Z147" s="626">
        <v>0.72314586590968499</v>
      </c>
      <c r="AA147" s="626">
        <v>0.72002590951726408</v>
      </c>
      <c r="AB147" s="626">
        <v>0.71667699523211614</v>
      </c>
      <c r="AC147" s="626">
        <v>0.71306098769232884</v>
      </c>
      <c r="AD147" s="626">
        <v>0.70918300942671197</v>
      </c>
      <c r="AE147" s="626">
        <v>0.705114787482085</v>
      </c>
      <c r="AF147" s="626">
        <v>0.70093474111719001</v>
      </c>
      <c r="AG147" s="626">
        <v>0.696704405008304</v>
      </c>
    </row>
    <row r="148" spans="1:33" x14ac:dyDescent="0.3">
      <c r="A148" s="369" t="s">
        <v>289</v>
      </c>
      <c r="B148" s="370" t="s">
        <v>289</v>
      </c>
      <c r="C148" s="626">
        <v>0.45496161646286898</v>
      </c>
      <c r="D148" s="626">
        <v>0.44911652583426898</v>
      </c>
      <c r="E148" s="626">
        <v>0.44236173386290306</v>
      </c>
      <c r="F148" s="626">
        <v>0.43491512020204903</v>
      </c>
      <c r="G148" s="626">
        <v>0.42721946201941002</v>
      </c>
      <c r="H148" s="626">
        <v>0.41965370810411001</v>
      </c>
      <c r="I148" s="626">
        <v>0.41555598246364606</v>
      </c>
      <c r="J148" s="626">
        <v>0.41130638862333802</v>
      </c>
      <c r="K148" s="626">
        <v>0.40717212861268398</v>
      </c>
      <c r="L148" s="626">
        <v>0.4029913110633</v>
      </c>
      <c r="M148" s="626">
        <v>0.39877057293198398</v>
      </c>
      <c r="N148" s="626">
        <v>0.39577374922707598</v>
      </c>
      <c r="O148" s="626">
        <v>0.392942773037191</v>
      </c>
      <c r="P148" s="626">
        <v>0.38996964512334098</v>
      </c>
      <c r="Q148" s="626">
        <v>0.38665693385948996</v>
      </c>
      <c r="R148" s="626">
        <v>0.38304252048649201</v>
      </c>
      <c r="S148" s="626">
        <v>0.37862350995883998</v>
      </c>
      <c r="T148" s="626">
        <v>0.37427232340675898</v>
      </c>
      <c r="U148" s="626">
        <v>0.37015284131683901</v>
      </c>
      <c r="V148" s="626">
        <v>0.36660674728956699</v>
      </c>
      <c r="W148" s="626">
        <v>0.36388834372497397</v>
      </c>
      <c r="X148" s="626">
        <v>0.36178229918138199</v>
      </c>
      <c r="Y148" s="626">
        <v>0.36069226295382401</v>
      </c>
      <c r="Z148" s="626">
        <v>0.36041896045143901</v>
      </c>
      <c r="AA148" s="626">
        <v>0.36065542156629399</v>
      </c>
      <c r="AB148" s="626">
        <v>0.36123927330369299</v>
      </c>
      <c r="AC148" s="626">
        <v>0.36236508313426197</v>
      </c>
      <c r="AD148" s="626">
        <v>0.363946749360054</v>
      </c>
      <c r="AE148" s="626">
        <v>0.36608057856154103</v>
      </c>
      <c r="AF148" s="626">
        <v>0.368966125166445</v>
      </c>
      <c r="AG148" s="626">
        <v>0.37274210343696701</v>
      </c>
    </row>
    <row r="149" spans="1:33" x14ac:dyDescent="0.3">
      <c r="A149" s="369" t="s">
        <v>208</v>
      </c>
      <c r="B149" s="370" t="s">
        <v>208</v>
      </c>
      <c r="C149" s="626">
        <v>0.62242369267290598</v>
      </c>
      <c r="D149" s="626">
        <v>0.61856552661002995</v>
      </c>
      <c r="E149" s="626">
        <v>0.61336938860774404</v>
      </c>
      <c r="F149" s="626">
        <v>0.60747743823649702</v>
      </c>
      <c r="G149" s="626">
        <v>0.60207312617252995</v>
      </c>
      <c r="H149" s="626">
        <v>0.59793609308723195</v>
      </c>
      <c r="I149" s="626">
        <v>0.59735170462737996</v>
      </c>
      <c r="J149" s="626">
        <v>0.59770770495689296</v>
      </c>
      <c r="K149" s="626">
        <v>0.59837661710522605</v>
      </c>
      <c r="L149" s="626">
        <v>0.59865804362087605</v>
      </c>
      <c r="M149" s="626">
        <v>0.59821141260741695</v>
      </c>
      <c r="N149" s="626">
        <v>0.59722956584792797</v>
      </c>
      <c r="O149" s="626">
        <v>0.59552559806069705</v>
      </c>
      <c r="P149" s="626">
        <v>0.593891628767243</v>
      </c>
      <c r="Q149" s="626">
        <v>0.59190543534752704</v>
      </c>
      <c r="R149" s="626">
        <v>0.58930565571488502</v>
      </c>
      <c r="S149" s="626">
        <v>0.58669552416430604</v>
      </c>
      <c r="T149" s="626">
        <v>0.58349013414635198</v>
      </c>
      <c r="U149" s="626">
        <v>0.57966656184184095</v>
      </c>
      <c r="V149" s="626">
        <v>0.57530643816674298</v>
      </c>
      <c r="W149" s="626">
        <v>0.57049649960930005</v>
      </c>
      <c r="X149" s="626">
        <v>0.56514821812802096</v>
      </c>
      <c r="Y149" s="626">
        <v>0.55956165955085002</v>
      </c>
      <c r="Z149" s="626">
        <v>0.55393718391315805</v>
      </c>
      <c r="AA149" s="626">
        <v>0.54854222586161205</v>
      </c>
      <c r="AB149" s="626">
        <v>0.54354970403515901</v>
      </c>
      <c r="AC149" s="626">
        <v>0.53897281232845096</v>
      </c>
      <c r="AD149" s="626">
        <v>0.53483623085681997</v>
      </c>
      <c r="AE149" s="626">
        <v>0.53123381372489398</v>
      </c>
      <c r="AF149" s="626">
        <v>0.52831912635360601</v>
      </c>
      <c r="AG149" s="626">
        <v>0.52620836464508003</v>
      </c>
    </row>
    <row r="150" spans="1:33" x14ac:dyDescent="0.3">
      <c r="A150" s="369" t="s">
        <v>331</v>
      </c>
      <c r="B150" s="370" t="s">
        <v>331</v>
      </c>
      <c r="C150" s="626">
        <v>0.61306610438600995</v>
      </c>
      <c r="D150" s="626">
        <v>0.60488766771718905</v>
      </c>
      <c r="E150" s="626">
        <v>0.596836462214129</v>
      </c>
      <c r="F150" s="626">
        <v>0.589346020437298</v>
      </c>
      <c r="G150" s="626">
        <v>0.58301006151786405</v>
      </c>
      <c r="H150" s="626">
        <v>0.57813363922977201</v>
      </c>
      <c r="I150" s="626">
        <v>0.57410128535330196</v>
      </c>
      <c r="J150" s="626">
        <v>0.57121766962680398</v>
      </c>
      <c r="K150" s="626">
        <v>0.56911353946059495</v>
      </c>
      <c r="L150" s="626">
        <v>0.56721997676007097</v>
      </c>
      <c r="M150" s="626">
        <v>0.56524938975524397</v>
      </c>
      <c r="N150" s="626">
        <v>0.56356995006865496</v>
      </c>
      <c r="O150" s="626">
        <v>0.56236559648723505</v>
      </c>
      <c r="P150" s="626">
        <v>0.56139161962606998</v>
      </c>
      <c r="Q150" s="626">
        <v>0.56027615272598097</v>
      </c>
      <c r="R150" s="626">
        <v>0.55873936668723301</v>
      </c>
      <c r="S150" s="626">
        <v>0.55668113211377102</v>
      </c>
      <c r="T150" s="626">
        <v>0.55410303616464496</v>
      </c>
      <c r="U150" s="626">
        <v>0.55105935951113405</v>
      </c>
      <c r="V150" s="626">
        <v>0.54767261296835501</v>
      </c>
      <c r="W150" s="626">
        <v>0.54400851693820096</v>
      </c>
      <c r="X150" s="626">
        <v>0.53987362591379795</v>
      </c>
      <c r="Y150" s="626">
        <v>0.53535271256200101</v>
      </c>
      <c r="Z150" s="626">
        <v>0.53055539830517695</v>
      </c>
      <c r="AA150" s="626">
        <v>0.52566182265658201</v>
      </c>
      <c r="AB150" s="626">
        <v>0.52081754528803603</v>
      </c>
      <c r="AC150" s="626">
        <v>0.515924358308671</v>
      </c>
      <c r="AD150" s="626">
        <v>0.51109877400064796</v>
      </c>
      <c r="AE150" s="626">
        <v>0.506466955936687</v>
      </c>
      <c r="AF150" s="626">
        <v>0.50218455975729503</v>
      </c>
      <c r="AG150" s="626">
        <v>0.498368826307174</v>
      </c>
    </row>
    <row r="151" spans="1:33" x14ac:dyDescent="0.3">
      <c r="A151" s="369" t="s">
        <v>43</v>
      </c>
      <c r="B151" s="370" t="s">
        <v>43</v>
      </c>
      <c r="C151" s="626">
        <v>0.47717943752109498</v>
      </c>
      <c r="D151" s="626">
        <v>0.47629063770045499</v>
      </c>
      <c r="E151" s="626">
        <v>0.47625612199869299</v>
      </c>
      <c r="F151" s="626">
        <v>0.47693238081513001</v>
      </c>
      <c r="G151" s="626">
        <v>0.47817809018132201</v>
      </c>
      <c r="H151" s="626">
        <v>0.47992325751477405</v>
      </c>
      <c r="I151" s="626">
        <v>0.482874509451511</v>
      </c>
      <c r="J151" s="626">
        <v>0.486358152920566</v>
      </c>
      <c r="K151" s="626">
        <v>0.49008168663604101</v>
      </c>
      <c r="L151" s="626">
        <v>0.49366131379787498</v>
      </c>
      <c r="M151" s="626">
        <v>0.49688338216604699</v>
      </c>
      <c r="N151" s="626">
        <v>0.50054381955791305</v>
      </c>
      <c r="O151" s="626">
        <v>0.50378939130480804</v>
      </c>
      <c r="P151" s="626">
        <v>0.50658895694709105</v>
      </c>
      <c r="Q151" s="626">
        <v>0.50900998648779705</v>
      </c>
      <c r="R151" s="626">
        <v>0.51111642371486798</v>
      </c>
      <c r="S151" s="626">
        <v>0.51310318852785997</v>
      </c>
      <c r="T151" s="626">
        <v>0.51489007609248405</v>
      </c>
      <c r="U151" s="626">
        <v>0.51638997355454996</v>
      </c>
      <c r="V151" s="626">
        <v>0.51750191817924196</v>
      </c>
      <c r="W151" s="626">
        <v>0.51819264573499202</v>
      </c>
      <c r="X151" s="626">
        <v>0.51857053077401005</v>
      </c>
      <c r="Y151" s="626">
        <v>0.51855098205902495</v>
      </c>
      <c r="Z151" s="626">
        <v>0.51832942713896502</v>
      </c>
      <c r="AA151" s="626">
        <v>0.51818609917414504</v>
      </c>
      <c r="AB151" s="626">
        <v>0.51827307348983598</v>
      </c>
      <c r="AC151" s="626">
        <v>0.518619847882684</v>
      </c>
      <c r="AD151" s="626">
        <v>0.51920895503650499</v>
      </c>
      <c r="AE151" s="626">
        <v>0.51985853780132896</v>
      </c>
      <c r="AF151" s="626">
        <v>0.52029718927739299</v>
      </c>
      <c r="AG151" s="626">
        <v>0.52038434897833996</v>
      </c>
    </row>
    <row r="152" spans="1:33" x14ac:dyDescent="0.3">
      <c r="A152" s="369" t="s">
        <v>375</v>
      </c>
      <c r="B152" s="370" t="s">
        <v>375</v>
      </c>
      <c r="C152" s="626">
        <v>0.53818583676434995</v>
      </c>
      <c r="D152" s="626">
        <v>0.53623706821137296</v>
      </c>
      <c r="E152" s="626">
        <v>0.53451234647705204</v>
      </c>
      <c r="F152" s="626">
        <v>0.53306150447465095</v>
      </c>
      <c r="G152" s="626">
        <v>0.53181160435108099</v>
      </c>
      <c r="H152" s="626">
        <v>0.53079126102862095</v>
      </c>
      <c r="I152" s="626">
        <v>0.53454807879686494</v>
      </c>
      <c r="J152" s="626">
        <v>0.53729357439786096</v>
      </c>
      <c r="K152" s="626">
        <v>0.53857128114099395</v>
      </c>
      <c r="L152" s="626">
        <v>0.53849940896169501</v>
      </c>
      <c r="M152" s="626">
        <v>0.53759759842199495</v>
      </c>
      <c r="N152" s="626">
        <v>0.53504499347192902</v>
      </c>
      <c r="O152" s="626">
        <v>0.53319499860629904</v>
      </c>
      <c r="P152" s="626">
        <v>0.53152911537700398</v>
      </c>
      <c r="Q152" s="626">
        <v>0.53048625581212105</v>
      </c>
      <c r="R152" s="626">
        <v>0.53001330191457996</v>
      </c>
      <c r="S152" s="626">
        <v>0.53003967833676602</v>
      </c>
      <c r="T152" s="626">
        <v>0.53062131950841895</v>
      </c>
      <c r="U152" s="626">
        <v>0.53170433324836797</v>
      </c>
      <c r="V152" s="626">
        <v>0.53319629200463503</v>
      </c>
      <c r="W152" s="626">
        <v>0.53502700104410905</v>
      </c>
      <c r="X152" s="626">
        <v>0.53715890205074501</v>
      </c>
      <c r="Y152" s="626">
        <v>0.53959329874363904</v>
      </c>
      <c r="Z152" s="626">
        <v>0.54222252774722501</v>
      </c>
      <c r="AA152" s="626">
        <v>0.54478530696017902</v>
      </c>
      <c r="AB152" s="626">
        <v>0.54711349660965503</v>
      </c>
      <c r="AC152" s="626">
        <v>0.54917270359896697</v>
      </c>
      <c r="AD152" s="626">
        <v>0.55101314756511399</v>
      </c>
      <c r="AE152" s="626">
        <v>0.55250982990262498</v>
      </c>
      <c r="AF152" s="626">
        <v>0.55369094984300105</v>
      </c>
      <c r="AG152" s="626">
        <v>0.55450862169356196</v>
      </c>
    </row>
    <row r="153" spans="1:33" x14ac:dyDescent="0.3">
      <c r="A153" s="369" t="s">
        <v>376</v>
      </c>
      <c r="B153" s="370" t="s">
        <v>376</v>
      </c>
      <c r="C153" s="626">
        <v>0.54675834821109803</v>
      </c>
      <c r="D153" s="626">
        <v>0.54617257648099005</v>
      </c>
      <c r="E153" s="626">
        <v>0.545674950068328</v>
      </c>
      <c r="F153" s="626">
        <v>0.54481857232223496</v>
      </c>
      <c r="G153" s="626">
        <v>0.54377052402500903</v>
      </c>
      <c r="H153" s="626">
        <v>0.54246080415849096</v>
      </c>
      <c r="I153" s="626">
        <v>0.54257184653601997</v>
      </c>
      <c r="J153" s="626">
        <v>0.54200796254551797</v>
      </c>
      <c r="K153" s="626">
        <v>0.54050825361357402</v>
      </c>
      <c r="L153" s="626">
        <v>0.53824072576391602</v>
      </c>
      <c r="M153" s="626">
        <v>0.53539739404454201</v>
      </c>
      <c r="N153" s="626">
        <v>0.53428004284949104</v>
      </c>
      <c r="O153" s="626">
        <v>0.53318273158803198</v>
      </c>
      <c r="P153" s="626">
        <v>0.531986282801995</v>
      </c>
      <c r="Q153" s="626">
        <v>0.53075296464188604</v>
      </c>
      <c r="R153" s="626">
        <v>0.52960501908050195</v>
      </c>
      <c r="S153" s="626">
        <v>0.52784536452665898</v>
      </c>
      <c r="T153" s="626">
        <v>0.52675009215424096</v>
      </c>
      <c r="U153" s="626">
        <v>0.52616227413433203</v>
      </c>
      <c r="V153" s="626">
        <v>0.52582181537799499</v>
      </c>
      <c r="W153" s="626">
        <v>0.52564715563506303</v>
      </c>
      <c r="X153" s="626">
        <v>0.52586033880171201</v>
      </c>
      <c r="Y153" s="626">
        <v>0.52631523534857205</v>
      </c>
      <c r="Z153" s="626">
        <v>0.52688771442807303</v>
      </c>
      <c r="AA153" s="626">
        <v>0.52737941009037204</v>
      </c>
      <c r="AB153" s="626">
        <v>0.527682611324513</v>
      </c>
      <c r="AC153" s="626">
        <v>0.52795084691480998</v>
      </c>
      <c r="AD153" s="626">
        <v>0.52798004414853905</v>
      </c>
      <c r="AE153" s="626">
        <v>0.52793831629199495</v>
      </c>
      <c r="AF153" s="626">
        <v>0.52810322511594698</v>
      </c>
      <c r="AG153" s="626">
        <v>0.52861599398883596</v>
      </c>
    </row>
    <row r="154" spans="1:33" x14ac:dyDescent="0.3">
      <c r="A154" s="369" t="s">
        <v>406</v>
      </c>
      <c r="B154" s="370" t="s">
        <v>406</v>
      </c>
      <c r="C154" s="626">
        <v>0.59576449180580104</v>
      </c>
      <c r="D154" s="626">
        <v>0.59648087903164404</v>
      </c>
      <c r="E154" s="626">
        <v>0.59721501636043295</v>
      </c>
      <c r="F154" s="626">
        <v>0.59755788460095505</v>
      </c>
      <c r="G154" s="626">
        <v>0.59734644819612603</v>
      </c>
      <c r="H154" s="626">
        <v>0.59623946763550095</v>
      </c>
      <c r="I154" s="626">
        <v>0.59300018114611597</v>
      </c>
      <c r="J154" s="626">
        <v>0.58957312184955402</v>
      </c>
      <c r="K154" s="626">
        <v>0.58622202092431697</v>
      </c>
      <c r="L154" s="626">
        <v>0.58329300985667398</v>
      </c>
      <c r="M154" s="626">
        <v>0.58069860052095701</v>
      </c>
      <c r="N154" s="626">
        <v>0.58051783098591503</v>
      </c>
      <c r="O154" s="626">
        <v>0.58059006182199902</v>
      </c>
      <c r="P154" s="626">
        <v>0.58061211895564802</v>
      </c>
      <c r="Q154" s="626">
        <v>0.58055741211005796</v>
      </c>
      <c r="R154" s="626">
        <v>0.58046664951106497</v>
      </c>
      <c r="S154" s="626">
        <v>0.57700221199663604</v>
      </c>
      <c r="T154" s="626">
        <v>0.57383899556178497</v>
      </c>
      <c r="U154" s="626">
        <v>0.57041009559337796</v>
      </c>
      <c r="V154" s="626">
        <v>0.56640967361111105</v>
      </c>
      <c r="W154" s="626">
        <v>0.56189774846850105</v>
      </c>
      <c r="X154" s="626">
        <v>0.55845631103238402</v>
      </c>
      <c r="Y154" s="626">
        <v>0.55450609529356398</v>
      </c>
      <c r="Z154" s="626">
        <v>0.550193307936228</v>
      </c>
      <c r="AA154" s="626">
        <v>0.54586594394385701</v>
      </c>
      <c r="AB154" s="626">
        <v>0.54177393347717395</v>
      </c>
      <c r="AC154" s="626">
        <v>0.53914639023981203</v>
      </c>
      <c r="AD154" s="626">
        <v>0.53697550087873502</v>
      </c>
      <c r="AE154" s="626">
        <v>0.534899799689314</v>
      </c>
      <c r="AF154" s="626">
        <v>0.53237943122226705</v>
      </c>
      <c r="AG154" s="626">
        <v>0.52911106550062503</v>
      </c>
    </row>
    <row r="155" spans="1:33" x14ac:dyDescent="0.3">
      <c r="A155" s="369" t="s">
        <v>83</v>
      </c>
      <c r="B155" s="370" t="s">
        <v>83</v>
      </c>
      <c r="C155" s="626">
        <v>0.54239869602584201</v>
      </c>
      <c r="D155" s="626">
        <v>0.54390737299174996</v>
      </c>
      <c r="E155" s="626">
        <v>0.54515446625558595</v>
      </c>
      <c r="F155" s="626">
        <v>0.54622880896389503</v>
      </c>
      <c r="G155" s="626">
        <v>0.54744381736445902</v>
      </c>
      <c r="H155" s="626">
        <v>0.54892322787663395</v>
      </c>
      <c r="I155" s="626">
        <v>0.55296414470284205</v>
      </c>
      <c r="J155" s="626">
        <v>0.55704340249798501</v>
      </c>
      <c r="K155" s="626">
        <v>0.56083405535499398</v>
      </c>
      <c r="L155" s="626">
        <v>0.56379480379215197</v>
      </c>
      <c r="M155" s="626">
        <v>0.56575009519332498</v>
      </c>
      <c r="N155" s="626">
        <v>0.56651744472877297</v>
      </c>
      <c r="O155" s="626">
        <v>0.56656988148383103</v>
      </c>
      <c r="P155" s="626">
        <v>0.56584516021138498</v>
      </c>
      <c r="Q155" s="626">
        <v>0.56433290425858496</v>
      </c>
      <c r="R155" s="626">
        <v>0.56215018419975404</v>
      </c>
      <c r="S155" s="626">
        <v>0.559959357034156</v>
      </c>
      <c r="T155" s="626">
        <v>0.55695088704663198</v>
      </c>
      <c r="U155" s="626">
        <v>0.55334818453045398</v>
      </c>
      <c r="V155" s="626">
        <v>0.54954403351001502</v>
      </c>
      <c r="W155" s="626">
        <v>0.54582412255187096</v>
      </c>
      <c r="X155" s="626">
        <v>0.54318415624645799</v>
      </c>
      <c r="Y155" s="626">
        <v>0.54076474502739103</v>
      </c>
      <c r="Z155" s="626">
        <v>0.53853261849400802</v>
      </c>
      <c r="AA155" s="626">
        <v>0.53649119537387002</v>
      </c>
      <c r="AB155" s="626">
        <v>0.53459419327445701</v>
      </c>
      <c r="AC155" s="626">
        <v>0.53362388072057798</v>
      </c>
      <c r="AD155" s="626">
        <v>0.53288778244706603</v>
      </c>
      <c r="AE155" s="626">
        <v>0.53232706869047397</v>
      </c>
      <c r="AF155" s="626">
        <v>0.53185534484356201</v>
      </c>
      <c r="AG155" s="626">
        <v>0.53143049375443696</v>
      </c>
    </row>
    <row r="156" spans="1:33" x14ac:dyDescent="0.3">
      <c r="A156" s="369" t="s">
        <v>320</v>
      </c>
      <c r="B156" s="370" t="s">
        <v>320</v>
      </c>
      <c r="C156" s="626">
        <v>0.61207676515134701</v>
      </c>
      <c r="D156" s="626">
        <v>0.60885858325296605</v>
      </c>
      <c r="E156" s="626">
        <v>0.606039522916069</v>
      </c>
      <c r="F156" s="626">
        <v>0.60374397947271896</v>
      </c>
      <c r="G156" s="626">
        <v>0.60223362284348803</v>
      </c>
      <c r="H156" s="626">
        <v>0.60156931434375704</v>
      </c>
      <c r="I156" s="626">
        <v>0.599637681057553</v>
      </c>
      <c r="J156" s="626">
        <v>0.59859144234801398</v>
      </c>
      <c r="K156" s="626">
        <v>0.59505522395152399</v>
      </c>
      <c r="L156" s="626">
        <v>0.59262771083181098</v>
      </c>
      <c r="M156" s="626">
        <v>0.59133718207252495</v>
      </c>
      <c r="N156" s="626">
        <v>0.59382209495131599</v>
      </c>
      <c r="O156" s="626">
        <v>0.59767131659348505</v>
      </c>
      <c r="P156" s="626">
        <v>0.60237524274089604</v>
      </c>
      <c r="Q156" s="626">
        <v>0.607420937991762</v>
      </c>
      <c r="R156" s="626">
        <v>0.61239823744264699</v>
      </c>
      <c r="S156" s="626">
        <v>0.60930058336189996</v>
      </c>
      <c r="T156" s="626">
        <v>0.60715992584400602</v>
      </c>
      <c r="U156" s="626">
        <v>0.60551711172212697</v>
      </c>
      <c r="V156" s="626">
        <v>0.60442043028230896</v>
      </c>
      <c r="W156" s="626">
        <v>0.60330118742443495</v>
      </c>
      <c r="X156" s="626">
        <v>0.59914728294610897</v>
      </c>
      <c r="Y156" s="626">
        <v>0.59397436332810305</v>
      </c>
      <c r="Z156" s="626">
        <v>0.58801615737303903</v>
      </c>
      <c r="AA156" s="626">
        <v>0.58161057454475396</v>
      </c>
      <c r="AB156" s="626">
        <v>0.57498918337603999</v>
      </c>
      <c r="AC156" s="626">
        <v>0.56744451599287205</v>
      </c>
      <c r="AD156" s="626">
        <v>0.55962531362672996</v>
      </c>
      <c r="AE156" s="626">
        <v>0.55194131009468905</v>
      </c>
      <c r="AF156" s="626">
        <v>0.54492650805184095</v>
      </c>
      <c r="AG156" s="626">
        <v>0.53890970631484503</v>
      </c>
    </row>
    <row r="157" spans="1:33" x14ac:dyDescent="0.3">
      <c r="A157" s="369" t="s">
        <v>44</v>
      </c>
      <c r="B157" s="370" t="s">
        <v>44</v>
      </c>
      <c r="C157" s="626">
        <v>0.66814576803662784</v>
      </c>
      <c r="D157" s="626">
        <v>0.66691370379647297</v>
      </c>
      <c r="E157" s="626">
        <v>0.66589520659755985</v>
      </c>
      <c r="F157" s="626">
        <v>0.66500638681177504</v>
      </c>
      <c r="G157" s="626">
        <v>0.66415223385937505</v>
      </c>
      <c r="H157" s="626">
        <v>0.66328145528160898</v>
      </c>
      <c r="I157" s="626">
        <v>0.66270777272889703</v>
      </c>
      <c r="J157" s="626">
        <v>0.66210717714155098</v>
      </c>
      <c r="K157" s="626">
        <v>0.66144451017930705</v>
      </c>
      <c r="L157" s="626">
        <v>0.66070528959308095</v>
      </c>
      <c r="M157" s="626">
        <v>0.65988883203525905</v>
      </c>
      <c r="N157" s="626">
        <v>0.662133246592154</v>
      </c>
      <c r="O157" s="626">
        <v>0.66423648519103096</v>
      </c>
      <c r="P157" s="626">
        <v>0.66617425734370395</v>
      </c>
      <c r="Q157" s="626">
        <v>0.6679514096027781</v>
      </c>
      <c r="R157" s="626">
        <v>0.66958265557279195</v>
      </c>
      <c r="S157" s="626">
        <v>0.67133409530527299</v>
      </c>
      <c r="T157" s="626">
        <v>0.67273855985494313</v>
      </c>
      <c r="U157" s="626">
        <v>0.67357138938829497</v>
      </c>
      <c r="V157" s="626">
        <v>0.67371961645341893</v>
      </c>
      <c r="W157" s="626">
        <v>0.67314405480363604</v>
      </c>
      <c r="X157" s="626">
        <v>0.67202453614603297</v>
      </c>
      <c r="Y157" s="626">
        <v>0.670278132407372</v>
      </c>
      <c r="Z157" s="626">
        <v>0.667976685006204</v>
      </c>
      <c r="AA157" s="626">
        <v>0.66522436786025596</v>
      </c>
      <c r="AB157" s="626">
        <v>0.66210424653052102</v>
      </c>
      <c r="AC157" s="626">
        <v>0.65872633885541698</v>
      </c>
      <c r="AD157" s="626">
        <v>0.65498371700880298</v>
      </c>
      <c r="AE157" s="626">
        <v>0.65098895158138803</v>
      </c>
      <c r="AF157" s="626">
        <v>0.64690218017816703</v>
      </c>
      <c r="AG157" s="626">
        <v>0.642816709014424</v>
      </c>
    </row>
    <row r="158" spans="1:33" x14ac:dyDescent="0.3">
      <c r="A158" s="369" t="s">
        <v>353</v>
      </c>
      <c r="B158" s="370" t="s">
        <v>353</v>
      </c>
      <c r="C158" s="626">
        <v>0.598577047471331</v>
      </c>
      <c r="D158" s="626">
        <v>0.59219848516113105</v>
      </c>
      <c r="E158" s="626">
        <v>0.58544720039323095</v>
      </c>
      <c r="F158" s="626">
        <v>0.57859091865183798</v>
      </c>
      <c r="G158" s="626">
        <v>0.57208020173399399</v>
      </c>
      <c r="H158" s="626">
        <v>0.56624633767983001</v>
      </c>
      <c r="I158" s="626">
        <v>0.56180933966498803</v>
      </c>
      <c r="J158" s="626">
        <v>0.55799643585757297</v>
      </c>
      <c r="K158" s="626">
        <v>0.55466251579735304</v>
      </c>
      <c r="L158" s="626">
        <v>0.55156783866542902</v>
      </c>
      <c r="M158" s="626">
        <v>0.54854203460321005</v>
      </c>
      <c r="N158" s="626">
        <v>0.54582851374445196</v>
      </c>
      <c r="O158" s="626">
        <v>0.54321527259436997</v>
      </c>
      <c r="P158" s="626">
        <v>0.54097010691948999</v>
      </c>
      <c r="Q158" s="626">
        <v>0.53895559243227498</v>
      </c>
      <c r="R158" s="626">
        <v>0.53706530218332704</v>
      </c>
      <c r="S158" s="626">
        <v>0.53433833629107297</v>
      </c>
      <c r="T158" s="626">
        <v>0.53181865323097599</v>
      </c>
      <c r="U158" s="626">
        <v>0.52949098624887303</v>
      </c>
      <c r="V158" s="626">
        <v>0.52733972191023704</v>
      </c>
      <c r="W158" s="626">
        <v>0.52535463877158395</v>
      </c>
      <c r="X158" s="626">
        <v>0.52373906202265597</v>
      </c>
      <c r="Y158" s="626">
        <v>0.522156033303246</v>
      </c>
      <c r="Z158" s="626">
        <v>0.52066699035934805</v>
      </c>
      <c r="AA158" s="626">
        <v>0.51940047325403205</v>
      </c>
      <c r="AB158" s="626">
        <v>0.51843499793524495</v>
      </c>
      <c r="AC158" s="626">
        <v>0.51791303908168695</v>
      </c>
      <c r="AD158" s="626">
        <v>0.51771269709193402</v>
      </c>
      <c r="AE158" s="626">
        <v>0.51778928014245096</v>
      </c>
      <c r="AF158" s="626">
        <v>0.51807439244029496</v>
      </c>
      <c r="AG158" s="626">
        <v>0.51852183341066804</v>
      </c>
    </row>
    <row r="159" spans="1:33" x14ac:dyDescent="0.3">
      <c r="A159" s="369" t="s">
        <v>290</v>
      </c>
      <c r="B159" s="370" t="s">
        <v>290</v>
      </c>
      <c r="C159" s="626">
        <v>0.48219702675034498</v>
      </c>
      <c r="D159" s="626">
        <v>0.48229733024293897</v>
      </c>
      <c r="E159" s="626">
        <v>0.48302781239614506</v>
      </c>
      <c r="F159" s="626">
        <v>0.48432960507700401</v>
      </c>
      <c r="G159" s="626">
        <v>0.48598716863179597</v>
      </c>
      <c r="H159" s="626">
        <v>0.48763461418550302</v>
      </c>
      <c r="I159" s="626">
        <v>0.48637899607843094</v>
      </c>
      <c r="J159" s="626">
        <v>0.48406415557667898</v>
      </c>
      <c r="K159" s="626">
        <v>0.48087423167848697</v>
      </c>
      <c r="L159" s="626">
        <v>0.47715605170387798</v>
      </c>
      <c r="M159" s="626">
        <v>0.47309897362502601</v>
      </c>
      <c r="N159" s="626">
        <v>0.47017155381765802</v>
      </c>
      <c r="O159" s="626">
        <v>0.46761321456619698</v>
      </c>
      <c r="P159" s="626">
        <v>0.46544869103431102</v>
      </c>
      <c r="Q159" s="626">
        <v>0.46344865630598697</v>
      </c>
      <c r="R159" s="626">
        <v>0.46151022708228601</v>
      </c>
      <c r="S159" s="626">
        <v>0.45992824044820801</v>
      </c>
      <c r="T159" s="626">
        <v>0.45853136132315497</v>
      </c>
      <c r="U159" s="626">
        <v>0.45718146566450302</v>
      </c>
      <c r="V159" s="626">
        <v>0.45566114384003398</v>
      </c>
      <c r="W159" s="626">
        <v>0.45385512287988905</v>
      </c>
      <c r="X159" s="626">
        <v>0.45197580252283598</v>
      </c>
      <c r="Y159" s="626">
        <v>0.449855033205173</v>
      </c>
      <c r="Z159" s="626">
        <v>0.44763392536069802</v>
      </c>
      <c r="AA159" s="626">
        <v>0.44549542414642701</v>
      </c>
      <c r="AB159" s="626">
        <v>0.44360073224525798</v>
      </c>
      <c r="AC159" s="626">
        <v>0.44217823609945694</v>
      </c>
      <c r="AD159" s="626">
        <v>0.44106879586243503</v>
      </c>
      <c r="AE159" s="626">
        <v>0.44033201079264006</v>
      </c>
      <c r="AF159" s="626">
        <v>0.43995355563417599</v>
      </c>
      <c r="AG159" s="626">
        <v>0.43999776746242297</v>
      </c>
    </row>
    <row r="160" spans="1:33" x14ac:dyDescent="0.3">
      <c r="A160" s="369" t="s">
        <v>45</v>
      </c>
      <c r="B160" s="370" t="s">
        <v>45</v>
      </c>
      <c r="C160" s="626">
        <v>0.71671937777503303</v>
      </c>
      <c r="D160" s="626">
        <v>0.71103729239088498</v>
      </c>
      <c r="E160" s="626">
        <v>0.70544807360266604</v>
      </c>
      <c r="F160" s="626">
        <v>0.699923701174618</v>
      </c>
      <c r="G160" s="626">
        <v>0.69443542650720702</v>
      </c>
      <c r="H160" s="626">
        <v>0.688976737784744</v>
      </c>
      <c r="I160" s="626">
        <v>0.68370980922413405</v>
      </c>
      <c r="J160" s="626">
        <v>0.67846883021757298</v>
      </c>
      <c r="K160" s="626">
        <v>0.67326765196401495</v>
      </c>
      <c r="L160" s="626">
        <v>0.66813795705657297</v>
      </c>
      <c r="M160" s="626">
        <v>0.66309503514658108</v>
      </c>
      <c r="N160" s="626">
        <v>0.65828507341289499</v>
      </c>
      <c r="O160" s="626">
        <v>0.65355014628887698</v>
      </c>
      <c r="P160" s="626">
        <v>0.64884505099230405</v>
      </c>
      <c r="Q160" s="626">
        <v>0.64467166002413512</v>
      </c>
      <c r="R160" s="626">
        <v>0.64050860886230299</v>
      </c>
      <c r="S160" s="626">
        <v>0.63650715256309398</v>
      </c>
      <c r="T160" s="626">
        <v>0.63253218653827903</v>
      </c>
      <c r="U160" s="626">
        <v>0.62856189023785103</v>
      </c>
      <c r="V160" s="626">
        <v>0.62457995201760097</v>
      </c>
      <c r="W160" s="626">
        <v>0.62059025846638904</v>
      </c>
      <c r="X160" s="626">
        <v>0.61673183100057505</v>
      </c>
      <c r="Y160" s="626">
        <v>0.61283152570493704</v>
      </c>
      <c r="Z160" s="626">
        <v>0.60898511461082205</v>
      </c>
      <c r="AA160" s="626">
        <v>0.60534940797532499</v>
      </c>
      <c r="AB160" s="626">
        <v>0.60201172945347103</v>
      </c>
      <c r="AC160" s="626">
        <v>0.59907630616560104</v>
      </c>
      <c r="AD160" s="626">
        <v>0.59638166287151895</v>
      </c>
      <c r="AE160" s="626">
        <v>0.59381843753659902</v>
      </c>
      <c r="AF160" s="626">
        <v>0.59125493478992697</v>
      </c>
      <c r="AG160" s="626">
        <v>0.58862089902860304</v>
      </c>
    </row>
    <row r="161" spans="1:33" x14ac:dyDescent="0.3">
      <c r="A161" s="369" t="s">
        <v>311</v>
      </c>
      <c r="B161" s="370" t="s">
        <v>311</v>
      </c>
      <c r="C161" s="626">
        <v>0.59578597668674305</v>
      </c>
      <c r="D161" s="626">
        <v>0.59264736837219301</v>
      </c>
      <c r="E161" s="626">
        <v>0.58913533921081196</v>
      </c>
      <c r="F161" s="626">
        <v>0.58497282789779004</v>
      </c>
      <c r="G161" s="626">
        <v>0.58021324244832995</v>
      </c>
      <c r="H161" s="626">
        <v>0.57523272991369201</v>
      </c>
      <c r="I161" s="626">
        <v>0.56839767128113605</v>
      </c>
      <c r="J161" s="626">
        <v>0.56170476433365102</v>
      </c>
      <c r="K161" s="626">
        <v>0.55509783719902905</v>
      </c>
      <c r="L161" s="626">
        <v>0.54909994317273603</v>
      </c>
      <c r="M161" s="626">
        <v>0.54436198397609503</v>
      </c>
      <c r="N161" s="626">
        <v>0.54104996214357204</v>
      </c>
      <c r="O161" s="626">
        <v>0.53818119242792894</v>
      </c>
      <c r="P161" s="626">
        <v>0.535448317266767</v>
      </c>
      <c r="Q161" s="626">
        <v>0.53294588054812997</v>
      </c>
      <c r="R161" s="626">
        <v>0.53107959392679105</v>
      </c>
      <c r="S161" s="626">
        <v>0.53115792750498703</v>
      </c>
      <c r="T161" s="626">
        <v>0.53225882994391804</v>
      </c>
      <c r="U161" s="626">
        <v>0.53412847065874602</v>
      </c>
      <c r="V161" s="626">
        <v>0.53630604970680695</v>
      </c>
      <c r="W161" s="626">
        <v>0.53849759665298902</v>
      </c>
      <c r="X161" s="626">
        <v>0.54016970378294205</v>
      </c>
      <c r="Y161" s="626">
        <v>0.54169342906537399</v>
      </c>
      <c r="Z161" s="626">
        <v>0.54316873417075295</v>
      </c>
      <c r="AA161" s="626">
        <v>0.54479299531855396</v>
      </c>
      <c r="AB161" s="626">
        <v>0.54669134068815195</v>
      </c>
      <c r="AC161" s="626">
        <v>0.548230206957254</v>
      </c>
      <c r="AD161" s="626">
        <v>0.549862457330759</v>
      </c>
      <c r="AE161" s="626">
        <v>0.55138742796787998</v>
      </c>
      <c r="AF161" s="626">
        <v>0.552455325997953</v>
      </c>
      <c r="AG161" s="626">
        <v>0.55287576836559205</v>
      </c>
    </row>
    <row r="162" spans="1:33" x14ac:dyDescent="0.3">
      <c r="A162" s="369" t="s">
        <v>332</v>
      </c>
      <c r="B162" s="370" t="s">
        <v>332</v>
      </c>
      <c r="C162" s="626">
        <v>0.55330748557352805</v>
      </c>
      <c r="D162" s="626">
        <v>0.54651384091706201</v>
      </c>
      <c r="E162" s="626">
        <v>0.53977139858826595</v>
      </c>
      <c r="F162" s="626">
        <v>0.53317098669901997</v>
      </c>
      <c r="G162" s="626">
        <v>0.52684762702771504</v>
      </c>
      <c r="H162" s="626">
        <v>0.52089778056141101</v>
      </c>
      <c r="I162" s="626">
        <v>0.51544283086338105</v>
      </c>
      <c r="J162" s="626">
        <v>0.51026172714655504</v>
      </c>
      <c r="K162" s="626">
        <v>0.50542277927409496</v>
      </c>
      <c r="L162" s="626">
        <v>0.50100552135863197</v>
      </c>
      <c r="M162" s="626">
        <v>0.49703394312624494</v>
      </c>
      <c r="N162" s="626">
        <v>0.49319495091974103</v>
      </c>
      <c r="O162" s="626">
        <v>0.49469175670422499</v>
      </c>
      <c r="P162" s="626">
        <v>0.49648191465925701</v>
      </c>
      <c r="Q162" s="626">
        <v>0.49842801116753799</v>
      </c>
      <c r="R162" s="626">
        <v>0.50040626506636698</v>
      </c>
      <c r="S162" s="626">
        <v>0.50267185116028101</v>
      </c>
      <c r="T162" s="626">
        <v>0.50496760646621797</v>
      </c>
      <c r="U162" s="626">
        <v>0.50702602142432496</v>
      </c>
      <c r="V162" s="626">
        <v>0.50862822394973795</v>
      </c>
      <c r="W162" s="626">
        <v>0.50968108419038405</v>
      </c>
      <c r="X162" s="626">
        <v>0.51019288612275704</v>
      </c>
      <c r="Y162" s="626">
        <v>0.51008748356483402</v>
      </c>
      <c r="Z162" s="626">
        <v>0.50943250201442103</v>
      </c>
      <c r="AA162" s="626">
        <v>0.50838508670398597</v>
      </c>
      <c r="AB162" s="626">
        <v>0.50705192749243699</v>
      </c>
      <c r="AC162" s="626">
        <v>0.50530895899943196</v>
      </c>
      <c r="AD162" s="626">
        <v>0.50322254203217898</v>
      </c>
      <c r="AE162" s="626">
        <v>0.50091632645743001</v>
      </c>
      <c r="AF162" s="626">
        <v>0.49857948381660899</v>
      </c>
      <c r="AG162" s="626">
        <v>0.49636724751151301</v>
      </c>
    </row>
    <row r="163" spans="1:33" x14ac:dyDescent="0.3">
      <c r="A163" s="369" t="s">
        <v>354</v>
      </c>
      <c r="B163" s="370" t="s">
        <v>354</v>
      </c>
      <c r="C163" s="626">
        <v>0.54688582042874601</v>
      </c>
      <c r="D163" s="626">
        <v>0.54071971052498302</v>
      </c>
      <c r="E163" s="626">
        <v>0.53441539706109598</v>
      </c>
      <c r="F163" s="626">
        <v>0.52815405790232395</v>
      </c>
      <c r="G163" s="626">
        <v>0.52224096799406405</v>
      </c>
      <c r="H163" s="626">
        <v>0.51690171053077305</v>
      </c>
      <c r="I163" s="626">
        <v>0.511907273136184</v>
      </c>
      <c r="J163" s="626">
        <v>0.50746817591510196</v>
      </c>
      <c r="K163" s="626">
        <v>0.50343868985018603</v>
      </c>
      <c r="L163" s="626">
        <v>0.499540682300744</v>
      </c>
      <c r="M163" s="626">
        <v>0.49558044711649996</v>
      </c>
      <c r="N163" s="626">
        <v>0.49111340401163095</v>
      </c>
      <c r="O163" s="626">
        <v>0.49236786761580698</v>
      </c>
      <c r="P163" s="626">
        <v>0.49350613521303105</v>
      </c>
      <c r="Q163" s="626">
        <v>0.49447830529056203</v>
      </c>
      <c r="R163" s="626">
        <v>0.495194626540234</v>
      </c>
      <c r="S163" s="626">
        <v>0.49585072764607202</v>
      </c>
      <c r="T163" s="626">
        <v>0.495998203652603</v>
      </c>
      <c r="U163" s="626">
        <v>0.495582726302571</v>
      </c>
      <c r="V163" s="626">
        <v>0.49448160355496801</v>
      </c>
      <c r="W163" s="626">
        <v>0.49317869823460703</v>
      </c>
      <c r="X163" s="626">
        <v>0.49159386196490301</v>
      </c>
      <c r="Y163" s="626">
        <v>0.48996126211105201</v>
      </c>
      <c r="Z163" s="626">
        <v>0.488227871858951</v>
      </c>
      <c r="AA163" s="626">
        <v>0.48621309890355202</v>
      </c>
      <c r="AB163" s="626">
        <v>0.48379932687511595</v>
      </c>
      <c r="AC163" s="626">
        <v>0.48087297034803894</v>
      </c>
      <c r="AD163" s="626">
        <v>0.47754162901441</v>
      </c>
      <c r="AE163" s="626">
        <v>0.47411714320852594</v>
      </c>
      <c r="AF163" s="626">
        <v>0.47109826072632299</v>
      </c>
      <c r="AG163" s="626">
        <v>0.468845882572762</v>
      </c>
    </row>
    <row r="164" spans="1:33" x14ac:dyDescent="0.3">
      <c r="A164" s="369" t="s">
        <v>46</v>
      </c>
      <c r="B164" s="370" t="s">
        <v>46</v>
      </c>
      <c r="C164" s="626">
        <v>0.63759302881396096</v>
      </c>
      <c r="D164" s="626">
        <v>0.63984309221358504</v>
      </c>
      <c r="E164" s="626">
        <v>0.64207585269856016</v>
      </c>
      <c r="F164" s="626">
        <v>0.64425080698858705</v>
      </c>
      <c r="G164" s="626">
        <v>0.64620050506429305</v>
      </c>
      <c r="H164" s="626">
        <v>0.64768072559553302</v>
      </c>
      <c r="I164" s="626">
        <v>0.64862347276272903</v>
      </c>
      <c r="J164" s="626">
        <v>0.64967125610927789</v>
      </c>
      <c r="K164" s="626">
        <v>0.65095757499390305</v>
      </c>
      <c r="L164" s="626">
        <v>0.652345424536517</v>
      </c>
      <c r="M164" s="626">
        <v>0.65365116255754996</v>
      </c>
      <c r="N164" s="626">
        <v>0.65358317946171296</v>
      </c>
      <c r="O164" s="626">
        <v>0.65288834972854204</v>
      </c>
      <c r="P164" s="626">
        <v>0.651678195634391</v>
      </c>
      <c r="Q164" s="626">
        <v>0.65006981396489505</v>
      </c>
      <c r="R164" s="626">
        <v>0.64816388444335005</v>
      </c>
      <c r="S164" s="626">
        <v>0.64641231441514901</v>
      </c>
      <c r="T164" s="626">
        <v>0.64440077011861485</v>
      </c>
      <c r="U164" s="626">
        <v>0.64214079001788005</v>
      </c>
      <c r="V164" s="626">
        <v>0.63967367982696</v>
      </c>
      <c r="W164" s="626">
        <v>0.63701934901312196</v>
      </c>
      <c r="X164" s="626">
        <v>0.63456379607815105</v>
      </c>
      <c r="Y164" s="626">
        <v>0.63203824323142799</v>
      </c>
      <c r="Z164" s="626">
        <v>0.62922190482176898</v>
      </c>
      <c r="AA164" s="626">
        <v>0.62583489618631005</v>
      </c>
      <c r="AB164" s="626">
        <v>0.62175694370532097</v>
      </c>
      <c r="AC164" s="626">
        <v>0.61742167888460797</v>
      </c>
      <c r="AD164" s="626">
        <v>0.61256881305575706</v>
      </c>
      <c r="AE164" s="626">
        <v>0.60740907905677999</v>
      </c>
      <c r="AF164" s="626">
        <v>0.602230328329453</v>
      </c>
      <c r="AG164" s="626">
        <v>0.59722057515724702</v>
      </c>
    </row>
    <row r="165" spans="1:33" x14ac:dyDescent="0.3">
      <c r="A165" s="369" t="s">
        <v>84</v>
      </c>
      <c r="B165" s="370" t="s">
        <v>84</v>
      </c>
      <c r="C165" s="626">
        <v>0.64067321097742402</v>
      </c>
      <c r="D165" s="626">
        <v>0.63763099559296499</v>
      </c>
      <c r="E165" s="626">
        <v>0.63420147224354695</v>
      </c>
      <c r="F165" s="626">
        <v>0.63051706264246399</v>
      </c>
      <c r="G165" s="626">
        <v>0.62673661464166497</v>
      </c>
      <c r="H165" s="626">
        <v>0.62295154239136796</v>
      </c>
      <c r="I165" s="626">
        <v>0.61895988000916002</v>
      </c>
      <c r="J165" s="626">
        <v>0.61431751467718598</v>
      </c>
      <c r="K165" s="626">
        <v>0.60941534950246101</v>
      </c>
      <c r="L165" s="626">
        <v>0.60424042483067397</v>
      </c>
      <c r="M165" s="626">
        <v>0.59885432155719798</v>
      </c>
      <c r="N165" s="626">
        <v>0.59370227075697501</v>
      </c>
      <c r="O165" s="626">
        <v>0.58836497001178401</v>
      </c>
      <c r="P165" s="626">
        <v>0.58307164528641897</v>
      </c>
      <c r="Q165" s="626">
        <v>0.57812638639068104</v>
      </c>
      <c r="R165" s="626">
        <v>0.57369097775255096</v>
      </c>
      <c r="S165" s="626">
        <v>0.57012118607400097</v>
      </c>
      <c r="T165" s="626">
        <v>0.56691475753351905</v>
      </c>
      <c r="U165" s="626">
        <v>0.56391488813840096</v>
      </c>
      <c r="V165" s="626">
        <v>0.56092459035642805</v>
      </c>
      <c r="W165" s="626">
        <v>0.55784787804648805</v>
      </c>
      <c r="X165" s="626">
        <v>0.55505696062271903</v>
      </c>
      <c r="Y165" s="626">
        <v>0.55218321759413802</v>
      </c>
      <c r="Z165" s="626">
        <v>0.54929887386520704</v>
      </c>
      <c r="AA165" s="626">
        <v>0.54652053613999596</v>
      </c>
      <c r="AB165" s="626">
        <v>0.54390542015524601</v>
      </c>
      <c r="AC165" s="626">
        <v>0.54160285999459901</v>
      </c>
      <c r="AD165" s="626">
        <v>0.53939561831975302</v>
      </c>
      <c r="AE165" s="626">
        <v>0.53717489748116898</v>
      </c>
      <c r="AF165" s="626">
        <v>0.53480542161424705</v>
      </c>
      <c r="AG165" s="626">
        <v>0.532225975705228</v>
      </c>
    </row>
    <row r="166" spans="1:33" x14ac:dyDescent="0.3">
      <c r="A166" s="369" t="s">
        <v>53</v>
      </c>
      <c r="B166" s="370" t="s">
        <v>53</v>
      </c>
      <c r="C166" s="626">
        <v>0.38585840447958603</v>
      </c>
      <c r="D166" s="626">
        <v>0.37953993382025603</v>
      </c>
      <c r="E166" s="626">
        <v>0.37328024527312798</v>
      </c>
      <c r="F166" s="626">
        <v>0.36722920726293301</v>
      </c>
      <c r="G166" s="626">
        <v>0.36522399966525199</v>
      </c>
      <c r="H166" s="626">
        <v>0.36376456467663698</v>
      </c>
      <c r="I166" s="626">
        <v>0.36255569775360202</v>
      </c>
      <c r="J166" s="626">
        <v>0.36175120033415398</v>
      </c>
      <c r="K166" s="626">
        <v>0.36131843952265297</v>
      </c>
      <c r="L166" s="626">
        <v>0.361181674756264</v>
      </c>
      <c r="M166" s="626">
        <v>0.361274583251248</v>
      </c>
      <c r="N166" s="626">
        <v>0.36178781973823992</v>
      </c>
      <c r="O166" s="626">
        <v>0.36233631234165697</v>
      </c>
      <c r="P166" s="626">
        <v>0.36285069136765202</v>
      </c>
      <c r="Q166" s="626">
        <v>0.36323105342683698</v>
      </c>
      <c r="R166" s="626">
        <v>0.36340974124521802</v>
      </c>
      <c r="S166" s="626">
        <v>0.363555710525507</v>
      </c>
      <c r="T166" s="626">
        <v>0.36376549439007905</v>
      </c>
      <c r="U166" s="626">
        <v>0.36418301035094702</v>
      </c>
      <c r="V166" s="626">
        <v>0.36465282509395402</v>
      </c>
      <c r="W166" s="626">
        <v>0.36508163886244899</v>
      </c>
      <c r="X166" s="626">
        <v>0.36528893276976299</v>
      </c>
      <c r="Y166" s="626">
        <v>0.36543964527826506</v>
      </c>
      <c r="Z166" s="626">
        <v>0.3656594098357</v>
      </c>
      <c r="AA166" s="626">
        <v>0.36612570674626099</v>
      </c>
      <c r="AB166" s="626">
        <v>0.36696098124235099</v>
      </c>
      <c r="AC166" s="626">
        <v>0.36800629118970496</v>
      </c>
      <c r="AD166" s="626">
        <v>0.36940889996374698</v>
      </c>
      <c r="AE166" s="626">
        <v>0.37125236430016501</v>
      </c>
      <c r="AF166" s="626">
        <v>0.37362749986988603</v>
      </c>
      <c r="AG166" s="626">
        <v>0.37660033748627703</v>
      </c>
    </row>
    <row r="167" spans="1:33" x14ac:dyDescent="0.3">
      <c r="A167" s="369" t="s">
        <v>85</v>
      </c>
      <c r="B167" s="370" t="s">
        <v>85</v>
      </c>
      <c r="C167" s="626">
        <v>0.70463336090914297</v>
      </c>
      <c r="D167" s="626">
        <v>0.70295401934172086</v>
      </c>
      <c r="E167" s="626">
        <v>0.70097994071571113</v>
      </c>
      <c r="F167" s="626">
        <v>0.698876755469929</v>
      </c>
      <c r="G167" s="626">
        <v>0.69685028435333496</v>
      </c>
      <c r="H167" s="626">
        <v>0.69500808563449101</v>
      </c>
      <c r="I167" s="626">
        <v>0.69311022877367501</v>
      </c>
      <c r="J167" s="626">
        <v>0.69134964960766798</v>
      </c>
      <c r="K167" s="626">
        <v>0.68972354451442397</v>
      </c>
      <c r="L167" s="626">
        <v>0.68791025841145914</v>
      </c>
      <c r="M167" s="626">
        <v>0.68601718903160502</v>
      </c>
      <c r="N167" s="626">
        <v>0.68399841521373805</v>
      </c>
      <c r="O167" s="626">
        <v>0.68183727964128105</v>
      </c>
      <c r="P167" s="626">
        <v>0.67960163539743013</v>
      </c>
      <c r="Q167" s="626">
        <v>0.67738294083619199</v>
      </c>
      <c r="R167" s="626">
        <v>0.675226540399255</v>
      </c>
      <c r="S167" s="626">
        <v>0.67313390288949904</v>
      </c>
      <c r="T167" s="626">
        <v>0.67105629112323895</v>
      </c>
      <c r="U167" s="626">
        <v>0.66889339651671809</v>
      </c>
      <c r="V167" s="626">
        <v>0.66649055329040297</v>
      </c>
      <c r="W167" s="626">
        <v>0.66376153201486199</v>
      </c>
      <c r="X167" s="626">
        <v>0.66076497335817985</v>
      </c>
      <c r="Y167" s="626">
        <v>0.65746111641617699</v>
      </c>
      <c r="Z167" s="626">
        <v>0.65394114612701604</v>
      </c>
      <c r="AA167" s="626">
        <v>0.65033227898901402</v>
      </c>
      <c r="AB167" s="626">
        <v>0.64670646216043504</v>
      </c>
      <c r="AC167" s="626">
        <v>0.64302450539034295</v>
      </c>
      <c r="AD167" s="626">
        <v>0.639250287229012</v>
      </c>
      <c r="AE167" s="626">
        <v>0.63540062827437604</v>
      </c>
      <c r="AF167" s="626">
        <v>0.63149669721492097</v>
      </c>
      <c r="AG167" s="626">
        <v>0.627545427126037</v>
      </c>
    </row>
    <row r="168" spans="1:33" x14ac:dyDescent="0.3">
      <c r="A168" s="369" t="s">
        <v>355</v>
      </c>
      <c r="B168" s="370" t="s">
        <v>355</v>
      </c>
      <c r="C168" s="626">
        <v>0.56570946519989795</v>
      </c>
      <c r="D168" s="626">
        <v>0.568706668501751</v>
      </c>
      <c r="E168" s="626">
        <v>0.57230862421927897</v>
      </c>
      <c r="F168" s="626">
        <v>0.57627864718876698</v>
      </c>
      <c r="G168" s="626">
        <v>0.58025540911256301</v>
      </c>
      <c r="H168" s="626">
        <v>0.58395722485478496</v>
      </c>
      <c r="I168" s="626">
        <v>0.58436327481280304</v>
      </c>
      <c r="J168" s="626">
        <v>0.58483193224017704</v>
      </c>
      <c r="K168" s="626">
        <v>0.585456225044094</v>
      </c>
      <c r="L168" s="626">
        <v>0.58622326219085297</v>
      </c>
      <c r="M168" s="626">
        <v>0.58697307508266605</v>
      </c>
      <c r="N168" s="626">
        <v>0.587890581584537</v>
      </c>
      <c r="O168" s="626">
        <v>0.58775147618265899</v>
      </c>
      <c r="P168" s="626">
        <v>0.58697014800784197</v>
      </c>
      <c r="Q168" s="626">
        <v>0.58575182798575098</v>
      </c>
      <c r="R168" s="626">
        <v>0.58422257278220502</v>
      </c>
      <c r="S168" s="626">
        <v>0.58280792230887202</v>
      </c>
      <c r="T168" s="626">
        <v>0.58114665850942804</v>
      </c>
      <c r="U168" s="626">
        <v>0.57910948877651602</v>
      </c>
      <c r="V168" s="626">
        <v>0.57647134530824595</v>
      </c>
      <c r="W168" s="626">
        <v>0.57311057772996199</v>
      </c>
      <c r="X168" s="626">
        <v>0.56888380794425697</v>
      </c>
      <c r="Y168" s="626">
        <v>0.56398482020641705</v>
      </c>
      <c r="Z168" s="626">
        <v>0.55868174267458304</v>
      </c>
      <c r="AA168" s="626">
        <v>0.55337555676213002</v>
      </c>
      <c r="AB168" s="626">
        <v>0.54835370416248297</v>
      </c>
      <c r="AC168" s="626">
        <v>0.54342189491665305</v>
      </c>
      <c r="AD168" s="626">
        <v>0.53882159010384301</v>
      </c>
      <c r="AE168" s="626">
        <v>0.534726772340818</v>
      </c>
      <c r="AF168" s="626">
        <v>0.53134164759305802</v>
      </c>
      <c r="AG168" s="626">
        <v>0.52882793678092099</v>
      </c>
    </row>
    <row r="169" spans="1:33" x14ac:dyDescent="0.3">
      <c r="A169" s="370" t="s">
        <v>86</v>
      </c>
      <c r="B169" s="370" t="s">
        <v>86</v>
      </c>
      <c r="C169" s="626">
        <v>0.63610426067264303</v>
      </c>
      <c r="D169" s="626">
        <v>0.63792451235717096</v>
      </c>
      <c r="E169" s="626">
        <v>0.64041738684224103</v>
      </c>
      <c r="F169" s="626">
        <v>0.64330429213588602</v>
      </c>
      <c r="G169" s="626">
        <v>0.64619056645988304</v>
      </c>
      <c r="H169" s="626">
        <v>0.648844110861169</v>
      </c>
      <c r="I169" s="626">
        <v>0.651589592376975</v>
      </c>
      <c r="J169" s="626">
        <v>0.65386579244614496</v>
      </c>
      <c r="K169" s="626">
        <v>0.65562208545417211</v>
      </c>
      <c r="L169" s="626">
        <v>0.65694992785041395</v>
      </c>
      <c r="M169" s="626">
        <v>0.65797625773301405</v>
      </c>
      <c r="N169" s="626">
        <v>0.66031683955659204</v>
      </c>
      <c r="O169" s="626">
        <v>0.66244468100339804</v>
      </c>
      <c r="P169" s="626">
        <v>0.66415153372833202</v>
      </c>
      <c r="Q169" s="626">
        <v>0.66518843270521899</v>
      </c>
      <c r="R169" s="626">
        <v>0.66544538447937795</v>
      </c>
      <c r="S169" s="626">
        <v>0.66598820160570393</v>
      </c>
      <c r="T169" s="626">
        <v>0.66565219707027301</v>
      </c>
      <c r="U169" s="626">
        <v>0.66442322063616299</v>
      </c>
      <c r="V169" s="626">
        <v>0.66253808706471906</v>
      </c>
      <c r="W169" s="626">
        <v>0.66021410800952596</v>
      </c>
      <c r="X169" s="626">
        <v>0.65844609036924595</v>
      </c>
      <c r="Y169" s="626">
        <v>0.65634135859827192</v>
      </c>
      <c r="Z169" s="626">
        <v>0.65389972662878604</v>
      </c>
      <c r="AA169" s="626">
        <v>0.65116552115859105</v>
      </c>
      <c r="AB169" s="626">
        <v>0.64821616976668295</v>
      </c>
      <c r="AC169" s="626">
        <v>0.64602125950382794</v>
      </c>
      <c r="AD169" s="626">
        <v>0.64373041035496992</v>
      </c>
      <c r="AE169" s="626">
        <v>0.64126997048201584</v>
      </c>
      <c r="AF169" s="626">
        <v>0.63859095368792096</v>
      </c>
      <c r="AG169" s="626">
        <v>0.63570877272805104</v>
      </c>
    </row>
    <row r="170" spans="1:33" x14ac:dyDescent="0.3">
      <c r="A170" s="369" t="s">
        <v>117</v>
      </c>
      <c r="B170" s="370" t="s">
        <v>117</v>
      </c>
      <c r="C170" s="626">
        <v>0.66255659155386515</v>
      </c>
      <c r="D170" s="626">
        <v>0.66050696423262811</v>
      </c>
      <c r="E170" s="626">
        <v>0.65829685114925196</v>
      </c>
      <c r="F170" s="626">
        <v>0.65587440142383102</v>
      </c>
      <c r="G170" s="626">
        <v>0.65316326163328997</v>
      </c>
      <c r="H170" s="626">
        <v>0.65015758849970995</v>
      </c>
      <c r="I170" s="626">
        <v>0.64691111593547801</v>
      </c>
      <c r="J170" s="626">
        <v>0.64344696639685295</v>
      </c>
      <c r="K170" s="626">
        <v>0.64010470593794588</v>
      </c>
      <c r="L170" s="626">
        <v>0.63731955585534195</v>
      </c>
      <c r="M170" s="626">
        <v>0.63532645085780304</v>
      </c>
      <c r="N170" s="626">
        <v>0.63400094029732201</v>
      </c>
      <c r="O170" s="626">
        <v>0.63330942707529703</v>
      </c>
      <c r="P170" s="626">
        <v>0.63321423177006397</v>
      </c>
      <c r="Q170" s="626">
        <v>0.63365938241043096</v>
      </c>
      <c r="R170" s="626">
        <v>0.63459101687673602</v>
      </c>
      <c r="S170" s="626">
        <v>0.63626915898149705</v>
      </c>
      <c r="T170" s="626">
        <v>0.63846376677292005</v>
      </c>
      <c r="U170" s="626">
        <v>0.64090930557329207</v>
      </c>
      <c r="V170" s="626">
        <v>0.64291058487230501</v>
      </c>
      <c r="W170" s="626">
        <v>0.64414584547556797</v>
      </c>
      <c r="X170" s="626">
        <v>0.64425504339598005</v>
      </c>
      <c r="Y170" s="626">
        <v>0.6437094422376759</v>
      </c>
      <c r="Z170" s="626">
        <v>0.64257088544348195</v>
      </c>
      <c r="AA170" s="626">
        <v>0.640939764985342</v>
      </c>
      <c r="AB170" s="626">
        <v>0.63889528231190096</v>
      </c>
      <c r="AC170" s="626">
        <v>0.63639234395109401</v>
      </c>
      <c r="AD170" s="626">
        <v>0.63341817640818499</v>
      </c>
      <c r="AE170" s="626">
        <v>0.63023432322033601</v>
      </c>
      <c r="AF170" s="626">
        <v>0.62720768298704199</v>
      </c>
      <c r="AG170" s="626">
        <v>0.62453524499416702</v>
      </c>
    </row>
    <row r="171" spans="1:33" x14ac:dyDescent="0.3">
      <c r="A171" s="369" t="s">
        <v>87</v>
      </c>
      <c r="B171" s="370" t="s">
        <v>87</v>
      </c>
      <c r="C171" s="626">
        <v>0.66308695302722997</v>
      </c>
      <c r="D171" s="626">
        <v>0.66155429994636605</v>
      </c>
      <c r="E171" s="626">
        <v>0.66011768942483007</v>
      </c>
      <c r="F171" s="626">
        <v>0.65863131987606305</v>
      </c>
      <c r="G171" s="626">
        <v>0.65690861118884991</v>
      </c>
      <c r="H171" s="626">
        <v>0.65485979123103599</v>
      </c>
      <c r="I171" s="626">
        <v>0.65292822040236798</v>
      </c>
      <c r="J171" s="626">
        <v>0.65067447348177498</v>
      </c>
      <c r="K171" s="626">
        <v>0.64814776643247995</v>
      </c>
      <c r="L171" s="626">
        <v>0.64544969092899895</v>
      </c>
      <c r="M171" s="626">
        <v>0.64263552492779796</v>
      </c>
      <c r="N171" s="626">
        <v>0.63967633325419504</v>
      </c>
      <c r="O171" s="626">
        <v>0.63668583740890405</v>
      </c>
      <c r="P171" s="626">
        <v>0.63370363659912099</v>
      </c>
      <c r="Q171" s="626">
        <v>0.63078785006448501</v>
      </c>
      <c r="R171" s="626">
        <v>0.62773592729467897</v>
      </c>
      <c r="S171" s="626">
        <v>0.62482602245053098</v>
      </c>
      <c r="T171" s="626">
        <v>0.62191554722369202</v>
      </c>
      <c r="U171" s="626">
        <v>0.61902175516590496</v>
      </c>
      <c r="V171" s="626">
        <v>0.61617637500089995</v>
      </c>
      <c r="W171" s="626">
        <v>0.613404255061473</v>
      </c>
      <c r="X171" s="626">
        <v>0.61085462395704304</v>
      </c>
      <c r="Y171" s="626">
        <v>0.60841648305655205</v>
      </c>
      <c r="Z171" s="626">
        <v>0.606064648444678</v>
      </c>
      <c r="AA171" s="626">
        <v>0.60376836715307003</v>
      </c>
      <c r="AB171" s="626">
        <v>0.60150471633033997</v>
      </c>
      <c r="AC171" s="626">
        <v>0.59926058277529204</v>
      </c>
      <c r="AD171" s="626">
        <v>0.597037042759616</v>
      </c>
      <c r="AE171" s="626">
        <v>0.59479836772843797</v>
      </c>
      <c r="AF171" s="626">
        <v>0.59250086926454804</v>
      </c>
      <c r="AG171" s="626">
        <v>0.59011752099886805</v>
      </c>
    </row>
    <row r="172" spans="1:33" x14ac:dyDescent="0.3">
      <c r="A172" s="369" t="s">
        <v>386</v>
      </c>
      <c r="B172" s="370" t="s">
        <v>386</v>
      </c>
      <c r="C172" s="626">
        <v>0.55988531863270996</v>
      </c>
      <c r="D172" s="626">
        <v>0.55840728180199795</v>
      </c>
      <c r="E172" s="626">
        <v>0.55707111807715703</v>
      </c>
      <c r="F172" s="626">
        <v>0.55586763712045095</v>
      </c>
      <c r="G172" s="626">
        <v>0.55463083552097003</v>
      </c>
      <c r="H172" s="626">
        <v>0.55318108001819799</v>
      </c>
      <c r="I172" s="626">
        <v>0.55151555634921201</v>
      </c>
      <c r="J172" s="626">
        <v>0.54957167678067698</v>
      </c>
      <c r="K172" s="626">
        <v>0.54744563562538195</v>
      </c>
      <c r="L172" s="626">
        <v>0.54529943294996897</v>
      </c>
      <c r="M172" s="626">
        <v>0.54325884222409204</v>
      </c>
      <c r="N172" s="626">
        <v>0.54136441389136203</v>
      </c>
      <c r="O172" s="626">
        <v>0.53962773838838396</v>
      </c>
      <c r="P172" s="626">
        <v>0.53804624650628996</v>
      </c>
      <c r="Q172" s="626">
        <v>0.53664730050648302</v>
      </c>
      <c r="R172" s="626">
        <v>0.53543299088984198</v>
      </c>
      <c r="S172" s="626">
        <v>0.53436108242427605</v>
      </c>
      <c r="T172" s="626">
        <v>0.53349381720984201</v>
      </c>
      <c r="U172" s="626">
        <v>0.53275027241174799</v>
      </c>
      <c r="V172" s="626">
        <v>0.53202406861848806</v>
      </c>
      <c r="W172" s="626">
        <v>0.53123813995473201</v>
      </c>
      <c r="X172" s="626">
        <v>0.53061251231659201</v>
      </c>
      <c r="Y172" s="626">
        <v>0.52994820752259397</v>
      </c>
      <c r="Z172" s="626">
        <v>0.52928321787322496</v>
      </c>
      <c r="AA172" s="626">
        <v>0.52870488115788095</v>
      </c>
      <c r="AB172" s="626">
        <v>0.52824271174118498</v>
      </c>
      <c r="AC172" s="626">
        <v>0.52810792819549102</v>
      </c>
      <c r="AD172" s="626">
        <v>0.52813113695090397</v>
      </c>
      <c r="AE172" s="626">
        <v>0.52826490251959302</v>
      </c>
      <c r="AF172" s="626">
        <v>0.52843732669381704</v>
      </c>
      <c r="AG172" s="626">
        <v>0.528610410494321</v>
      </c>
    </row>
    <row r="173" spans="1:33" x14ac:dyDescent="0.3">
      <c r="A173" s="369" t="s">
        <v>872</v>
      </c>
      <c r="B173" s="370" t="s">
        <v>872</v>
      </c>
      <c r="C173" s="626">
        <v>0.44165062286588996</v>
      </c>
      <c r="D173" s="626">
        <v>0.43935946801479497</v>
      </c>
      <c r="E173" s="626">
        <v>0.43785789099879002</v>
      </c>
      <c r="F173" s="626">
        <v>0.43679946501233602</v>
      </c>
      <c r="G173" s="626">
        <v>0.43575158896801097</v>
      </c>
      <c r="H173" s="626">
        <v>0.43445544068778102</v>
      </c>
      <c r="I173" s="626">
        <v>0.43320672471758498</v>
      </c>
      <c r="J173" s="626">
        <v>0.43196487182071502</v>
      </c>
      <c r="K173" s="626">
        <v>0.43129714605265496</v>
      </c>
      <c r="L173" s="626">
        <v>0.43118428261654002</v>
      </c>
      <c r="M173" s="626">
        <v>0.43164783756022201</v>
      </c>
      <c r="N173" s="626">
        <v>0.43439494507687898</v>
      </c>
      <c r="O173" s="626">
        <v>0.43726678038905398</v>
      </c>
      <c r="P173" s="626">
        <v>0.44007515174455103</v>
      </c>
      <c r="Q173" s="626">
        <v>0.44263089255648502</v>
      </c>
      <c r="R173" s="626">
        <v>0.44479006163354201</v>
      </c>
      <c r="S173" s="626">
        <v>0.44895932680931305</v>
      </c>
      <c r="T173" s="626">
        <v>0.45302414567422</v>
      </c>
      <c r="U173" s="626">
        <v>0.45669713885278396</v>
      </c>
      <c r="V173" s="626">
        <v>0.45969470422590097</v>
      </c>
      <c r="W173" s="626">
        <v>0.46181954988727902</v>
      </c>
      <c r="X173" s="626">
        <v>0.46316146263529506</v>
      </c>
      <c r="Y173" s="626">
        <v>0.46400983046747102</v>
      </c>
      <c r="Z173" s="626">
        <v>0.46456509510910898</v>
      </c>
      <c r="AA173" s="626">
        <v>0.46515393431058399</v>
      </c>
      <c r="AB173" s="626">
        <v>0.46593466009023499</v>
      </c>
      <c r="AC173" s="626">
        <v>0.46676952329135007</v>
      </c>
      <c r="AD173" s="626">
        <v>0.46795166471187499</v>
      </c>
      <c r="AE173" s="626">
        <v>0.46934319922912898</v>
      </c>
      <c r="AF173" s="626">
        <v>0.47072537639374201</v>
      </c>
      <c r="AG173" s="626">
        <v>0.47197230595669099</v>
      </c>
    </row>
    <row r="174" spans="1:33" x14ac:dyDescent="0.3">
      <c r="A174" s="369" t="s">
        <v>343</v>
      </c>
      <c r="B174" s="370" t="s">
        <v>343</v>
      </c>
      <c r="C174" s="626">
        <v>0.60105114147262295</v>
      </c>
      <c r="D174" s="626">
        <v>0.59708409853262101</v>
      </c>
      <c r="E174" s="626">
        <v>0.59269296619572698</v>
      </c>
      <c r="F174" s="626">
        <v>0.588023811841209</v>
      </c>
      <c r="G174" s="626">
        <v>0.58322627648224401</v>
      </c>
      <c r="H174" s="626">
        <v>0.57841295887814803</v>
      </c>
      <c r="I174" s="626">
        <v>0.57255256501206397</v>
      </c>
      <c r="J174" s="626">
        <v>0.56656637425794298</v>
      </c>
      <c r="K174" s="626">
        <v>0.56095204638024398</v>
      </c>
      <c r="L174" s="626">
        <v>0.55646121056944797</v>
      </c>
      <c r="M174" s="626">
        <v>0.55356483726305905</v>
      </c>
      <c r="N174" s="626">
        <v>0.551510661804681</v>
      </c>
      <c r="O174" s="626">
        <v>0.55087735614946798</v>
      </c>
      <c r="P174" s="626">
        <v>0.55166167819880596</v>
      </c>
      <c r="Q174" s="626">
        <v>0.55290251649906796</v>
      </c>
      <c r="R174" s="626">
        <v>0.55387017442393904</v>
      </c>
      <c r="S174" s="626">
        <v>0.55358347677696595</v>
      </c>
      <c r="T174" s="626">
        <v>0.55282124165781998</v>
      </c>
      <c r="U174" s="626">
        <v>0.55168199058227896</v>
      </c>
      <c r="V174" s="626">
        <v>0.55036315844705297</v>
      </c>
      <c r="W174" s="626">
        <v>0.54900825928778896</v>
      </c>
      <c r="X174" s="626">
        <v>0.54718499625379602</v>
      </c>
      <c r="Y174" s="626">
        <v>0.54505613457564595</v>
      </c>
      <c r="Z174" s="626">
        <v>0.54282928912656403</v>
      </c>
      <c r="AA174" s="626">
        <v>0.54078117042913798</v>
      </c>
      <c r="AB174" s="626">
        <v>0.53909765001471199</v>
      </c>
      <c r="AC174" s="626">
        <v>0.53730765486887799</v>
      </c>
      <c r="AD174" s="626">
        <v>0.53583226854119004</v>
      </c>
      <c r="AE174" s="626">
        <v>0.53467809810093303</v>
      </c>
      <c r="AF174" s="626">
        <v>0.53378681144900397</v>
      </c>
      <c r="AG174" s="626">
        <v>0.53313077412663001</v>
      </c>
    </row>
    <row r="175" spans="1:33" x14ac:dyDescent="0.3">
      <c r="A175" s="369" t="s">
        <v>363</v>
      </c>
      <c r="B175" s="370" t="s">
        <v>363</v>
      </c>
      <c r="C175" s="626">
        <v>0.61690997273705594</v>
      </c>
      <c r="D175" s="626">
        <v>0.61386598653548596</v>
      </c>
      <c r="E175" s="626">
        <v>0.61098507122638601</v>
      </c>
      <c r="F175" s="626">
        <v>0.60835252467974898</v>
      </c>
      <c r="G175" s="626">
        <v>0.60594745740604194</v>
      </c>
      <c r="H175" s="626">
        <v>0.60368896471022304</v>
      </c>
      <c r="I175" s="626">
        <v>0.59974545915125099</v>
      </c>
      <c r="J175" s="626">
        <v>0.59606543257900502</v>
      </c>
      <c r="K175" s="626">
        <v>0.59282529415139995</v>
      </c>
      <c r="L175" s="626">
        <v>0.59015387927961505</v>
      </c>
      <c r="M175" s="626">
        <v>0.58805712034400603</v>
      </c>
      <c r="N175" s="626">
        <v>0.58417700970845299</v>
      </c>
      <c r="O175" s="626">
        <v>0.58120289714275897</v>
      </c>
      <c r="P175" s="626">
        <v>0.57922633967335502</v>
      </c>
      <c r="Q175" s="626">
        <v>0.57821716880966201</v>
      </c>
      <c r="R175" s="626">
        <v>0.57801927314869495</v>
      </c>
      <c r="S175" s="626">
        <v>0.57640397403765198</v>
      </c>
      <c r="T175" s="626">
        <v>0.57487357889374302</v>
      </c>
      <c r="U175" s="626">
        <v>0.57353872171832498</v>
      </c>
      <c r="V175" s="626">
        <v>0.57251014184660598</v>
      </c>
      <c r="W175" s="626">
        <v>0.571880993951834</v>
      </c>
      <c r="X175" s="626">
        <v>0.57115195758186499</v>
      </c>
      <c r="Y175" s="626">
        <v>0.57054786354960396</v>
      </c>
      <c r="Z175" s="626">
        <v>0.57005756658934703</v>
      </c>
      <c r="AA175" s="626">
        <v>0.569615887036096</v>
      </c>
      <c r="AB175" s="626">
        <v>0.56919793998486101</v>
      </c>
      <c r="AC175" s="626">
        <v>0.56807471258351805</v>
      </c>
      <c r="AD175" s="626">
        <v>0.56685914829196904</v>
      </c>
      <c r="AE175" s="626">
        <v>0.56556766503503098</v>
      </c>
      <c r="AF175" s="626">
        <v>0.56418510473754102</v>
      </c>
      <c r="AG175" s="626">
        <v>0.56273873108993999</v>
      </c>
    </row>
    <row r="176" spans="1:33" x14ac:dyDescent="0.3">
      <c r="A176" s="369" t="s">
        <v>321</v>
      </c>
      <c r="B176" s="370" t="s">
        <v>730</v>
      </c>
      <c r="C176" s="626">
        <v>0.55023706042994702</v>
      </c>
      <c r="D176" s="626">
        <v>0.54638197517572695</v>
      </c>
      <c r="E176" s="626">
        <v>0.54669469666553505</v>
      </c>
      <c r="F176" s="626">
        <v>0.54705061978820202</v>
      </c>
      <c r="G176" s="626">
        <v>0.54772039719728205</v>
      </c>
      <c r="H176" s="626">
        <v>0.54878586575872701</v>
      </c>
      <c r="I176" s="626">
        <v>0.55186494700996302</v>
      </c>
      <c r="J176" s="626">
        <v>0.55569911610272604</v>
      </c>
      <c r="K176" s="626">
        <v>0.559950442947176</v>
      </c>
      <c r="L176" s="626">
        <v>0.564125783460241</v>
      </c>
      <c r="M176" s="626">
        <v>0.56770929065737397</v>
      </c>
      <c r="N176" s="626">
        <v>0.57041757918505398</v>
      </c>
      <c r="O176" s="626">
        <v>0.57250653189213896</v>
      </c>
      <c r="P176" s="626">
        <v>0.57423042721671702</v>
      </c>
      <c r="Q176" s="626">
        <v>0.57605727182330702</v>
      </c>
      <c r="R176" s="626">
        <v>0.57837533114263295</v>
      </c>
      <c r="S176" s="626">
        <v>0.58050721950571904</v>
      </c>
      <c r="T176" s="626">
        <v>0.58280732139610902</v>
      </c>
      <c r="U176" s="626">
        <v>0.585052618586827</v>
      </c>
      <c r="V176" s="626">
        <v>0.586877014187412</v>
      </c>
      <c r="W176" s="626">
        <v>0.58809762439260704</v>
      </c>
      <c r="X176" s="626">
        <v>0.59294704791753206</v>
      </c>
      <c r="Y176" s="626">
        <v>0.59693531958492796</v>
      </c>
      <c r="Z176" s="626">
        <v>0.60003560031115799</v>
      </c>
      <c r="AA176" s="626">
        <v>0.60230258051549102</v>
      </c>
      <c r="AB176" s="626">
        <v>0.60363582008435801</v>
      </c>
      <c r="AC176" s="626">
        <v>0.60201570717007402</v>
      </c>
      <c r="AD176" s="626">
        <v>0.59967610639896596</v>
      </c>
      <c r="AE176" s="626">
        <v>0.59643243109765898</v>
      </c>
      <c r="AF176" s="626">
        <v>0.59207702482830704</v>
      </c>
      <c r="AG176" s="626">
        <v>0.58658335293013797</v>
      </c>
    </row>
    <row r="177" spans="1:33" x14ac:dyDescent="0.3">
      <c r="A177" s="370" t="s">
        <v>88</v>
      </c>
      <c r="B177" s="370" t="s">
        <v>88</v>
      </c>
      <c r="C177" s="626">
        <v>0.68877751921876895</v>
      </c>
      <c r="D177" s="626">
        <v>0.68612137253935501</v>
      </c>
      <c r="E177" s="626">
        <v>0.68329828396141812</v>
      </c>
      <c r="F177" s="626">
        <v>0.68094213009826698</v>
      </c>
      <c r="G177" s="626">
        <v>0.67972826352010696</v>
      </c>
      <c r="H177" s="626">
        <v>0.67991209195262803</v>
      </c>
      <c r="I177" s="626">
        <v>0.68173901575797002</v>
      </c>
      <c r="J177" s="626">
        <v>0.68474660821810407</v>
      </c>
      <c r="K177" s="626">
        <v>0.68872649840448796</v>
      </c>
      <c r="L177" s="626">
        <v>0.69298462910395198</v>
      </c>
      <c r="M177" s="626">
        <v>0.69684773275323697</v>
      </c>
      <c r="N177" s="626">
        <v>0.70077741039517205</v>
      </c>
      <c r="O177" s="626">
        <v>0.70417651908836698</v>
      </c>
      <c r="P177" s="626">
        <v>0.70727218763882505</v>
      </c>
      <c r="Q177" s="626">
        <v>0.71052199442942898</v>
      </c>
      <c r="R177" s="626">
        <v>0.71414861242680994</v>
      </c>
      <c r="S177" s="626">
        <v>0.71838985424925805</v>
      </c>
      <c r="T177" s="626">
        <v>0.72295435104509098</v>
      </c>
      <c r="U177" s="626">
        <v>0.72708481382863399</v>
      </c>
      <c r="V177" s="626">
        <v>0.72980834405475903</v>
      </c>
      <c r="W177" s="626">
        <v>0.73064110357628886</v>
      </c>
      <c r="X177" s="626">
        <v>0.73000909857064</v>
      </c>
      <c r="Y177" s="626">
        <v>0.72774076765014106</v>
      </c>
      <c r="Z177" s="626">
        <v>0.724057980499619</v>
      </c>
      <c r="AA177" s="626">
        <v>0.71933250757708</v>
      </c>
      <c r="AB177" s="626">
        <v>0.71385060062453387</v>
      </c>
      <c r="AC177" s="626">
        <v>0.70787833319337001</v>
      </c>
      <c r="AD177" s="626">
        <v>0.70123299584241905</v>
      </c>
      <c r="AE177" s="626">
        <v>0.69420650811019502</v>
      </c>
      <c r="AF177" s="626">
        <v>0.68717211254037702</v>
      </c>
      <c r="AG177" s="626">
        <v>0.68035579563044801</v>
      </c>
    </row>
    <row r="178" spans="1:33" x14ac:dyDescent="0.3">
      <c r="A178" s="369" t="s">
        <v>728</v>
      </c>
      <c r="B178" s="370" t="s">
        <v>210</v>
      </c>
      <c r="C178" s="626">
        <v>0.64417182301234599</v>
      </c>
      <c r="D178" s="626">
        <v>0.64207640835116697</v>
      </c>
      <c r="E178" s="626">
        <v>0.639983483862678</v>
      </c>
      <c r="F178" s="626">
        <v>0.63791476084579002</v>
      </c>
      <c r="G178" s="626">
        <v>0.63589124143566</v>
      </c>
      <c r="H178" s="626">
        <v>0.63392559885201105</v>
      </c>
      <c r="I178" s="626">
        <v>0.63212384606793903</v>
      </c>
      <c r="J178" s="626">
        <v>0.63028601553118502</v>
      </c>
      <c r="K178" s="626">
        <v>0.62847959943398801</v>
      </c>
      <c r="L178" s="626">
        <v>0.62679908422925901</v>
      </c>
      <c r="M178" s="626">
        <v>0.625279965178965</v>
      </c>
      <c r="N178" s="626">
        <v>0.62415480955445402</v>
      </c>
      <c r="O178" s="626">
        <v>0.62314599515867397</v>
      </c>
      <c r="P178" s="626">
        <v>0.62207199613987496</v>
      </c>
      <c r="Q178" s="626">
        <v>0.62068692792545699</v>
      </c>
      <c r="R178" s="626">
        <v>0.61887232932220204</v>
      </c>
      <c r="S178" s="626">
        <v>0.61679366147062398</v>
      </c>
      <c r="T178" s="626">
        <v>0.61418257786563402</v>
      </c>
      <c r="U178" s="626">
        <v>0.61119382090652496</v>
      </c>
      <c r="V178" s="626">
        <v>0.60798234187410605</v>
      </c>
      <c r="W178" s="626">
        <v>0.60464992146343699</v>
      </c>
      <c r="X178" s="626">
        <v>0.60118690295711297</v>
      </c>
      <c r="Y178" s="626">
        <v>0.59758034256020698</v>
      </c>
      <c r="Z178" s="626">
        <v>0.59392488779186803</v>
      </c>
      <c r="AA178" s="626">
        <v>0.59034388461187204</v>
      </c>
      <c r="AB178" s="626">
        <v>0.58690285542767096</v>
      </c>
      <c r="AC178" s="626">
        <v>0.583578474589874</v>
      </c>
      <c r="AD178" s="626">
        <v>0.58037533591938895</v>
      </c>
      <c r="AE178" s="626">
        <v>0.57722463970439297</v>
      </c>
      <c r="AF178" s="626">
        <v>0.57403026316837202</v>
      </c>
      <c r="AG178" s="626">
        <v>0.57073970936505802</v>
      </c>
    </row>
    <row r="179" spans="1:33" x14ac:dyDescent="0.3">
      <c r="A179" s="369" t="s">
        <v>873</v>
      </c>
      <c r="B179" s="370" t="s">
        <v>873</v>
      </c>
      <c r="C179" s="626">
        <v>0.68398104761814404</v>
      </c>
      <c r="D179" s="626">
        <v>0.680565871588376</v>
      </c>
      <c r="E179" s="626">
        <v>0.67717215007296505</v>
      </c>
      <c r="F179" s="626">
        <v>0.67381195445920317</v>
      </c>
      <c r="G179" s="626">
        <v>0.67054793501243604</v>
      </c>
      <c r="H179" s="626">
        <v>0.66743676371761596</v>
      </c>
      <c r="I179" s="626">
        <v>0.66440351516724705</v>
      </c>
      <c r="J179" s="626">
        <v>0.66161755152102497</v>
      </c>
      <c r="K179" s="626">
        <v>0.6591716764978951</v>
      </c>
      <c r="L179" s="626">
        <v>0.65718770296621298</v>
      </c>
      <c r="M179" s="626">
        <v>0.65573393752323395</v>
      </c>
      <c r="N179" s="626">
        <v>0.65521420309969902</v>
      </c>
      <c r="O179" s="626">
        <v>0.65523459569977305</v>
      </c>
      <c r="P179" s="626">
        <v>0.65588315055100499</v>
      </c>
      <c r="Q179" s="626">
        <v>0.65681565519560214</v>
      </c>
      <c r="R179" s="626">
        <v>0.65776320307032099</v>
      </c>
      <c r="S179" s="626">
        <v>0.65809967726384799</v>
      </c>
      <c r="T179" s="626">
        <v>0.65829041770908803</v>
      </c>
      <c r="U179" s="626">
        <v>0.65840309129981189</v>
      </c>
      <c r="V179" s="626">
        <v>0.65858479075818199</v>
      </c>
      <c r="W179" s="626">
        <v>0.65889749883146198</v>
      </c>
      <c r="X179" s="626">
        <v>0.65931590701421106</v>
      </c>
      <c r="Y179" s="626">
        <v>0.65980587759950504</v>
      </c>
      <c r="Z179" s="626">
        <v>0.66015770664319096</v>
      </c>
      <c r="AA179" s="626">
        <v>0.66004396360645601</v>
      </c>
      <c r="AB179" s="626">
        <v>0.65924062293816699</v>
      </c>
      <c r="AC179" s="626">
        <v>0.65780321153153798</v>
      </c>
      <c r="AD179" s="626">
        <v>0.65565532447944497</v>
      </c>
      <c r="AE179" s="626">
        <v>0.65289781102993505</v>
      </c>
      <c r="AF179" s="626">
        <v>0.64972301979451597</v>
      </c>
      <c r="AG179" s="626">
        <v>0.64626479236023304</v>
      </c>
    </row>
    <row r="180" spans="1:33" x14ac:dyDescent="0.3">
      <c r="A180" s="369" t="s">
        <v>312</v>
      </c>
      <c r="B180" s="370" t="s">
        <v>312</v>
      </c>
      <c r="C180" s="626">
        <v>0.67205862033295505</v>
      </c>
      <c r="D180" s="626">
        <v>0.67311392192374098</v>
      </c>
      <c r="E180" s="626">
        <v>0.67429335056074113</v>
      </c>
      <c r="F180" s="626">
        <v>0.675519476308169</v>
      </c>
      <c r="G180" s="626">
        <v>0.67667006853809697</v>
      </c>
      <c r="H180" s="626">
        <v>0.67763759333729601</v>
      </c>
      <c r="I180" s="626">
        <v>0.67879578672581298</v>
      </c>
      <c r="J180" s="626">
        <v>0.67964289558657598</v>
      </c>
      <c r="K180" s="626">
        <v>0.68016348692729389</v>
      </c>
      <c r="L180" s="626">
        <v>0.680498059085897</v>
      </c>
      <c r="M180" s="626">
        <v>0.6807736809629471</v>
      </c>
      <c r="N180" s="626">
        <v>0.68008706439657207</v>
      </c>
      <c r="O180" s="626">
        <v>0.67910877171860695</v>
      </c>
      <c r="P180" s="626">
        <v>0.67766274275004501</v>
      </c>
      <c r="Q180" s="626">
        <v>0.67580533319193503</v>
      </c>
      <c r="R180" s="626">
        <v>0.67362068760463001</v>
      </c>
      <c r="S180" s="626">
        <v>0.67191029008526004</v>
      </c>
      <c r="T180" s="626">
        <v>0.67033970123382103</v>
      </c>
      <c r="U180" s="626">
        <v>0.66884278803805008</v>
      </c>
      <c r="V180" s="626">
        <v>0.667298261886209</v>
      </c>
      <c r="W180" s="626">
        <v>0.66562996360708904</v>
      </c>
      <c r="X180" s="626">
        <v>0.66378349392430702</v>
      </c>
      <c r="Y180" s="626">
        <v>0.66184480088602304</v>
      </c>
      <c r="Z180" s="626">
        <v>0.65984374812281799</v>
      </c>
      <c r="AA180" s="626">
        <v>0.65782638150891504</v>
      </c>
      <c r="AB180" s="626">
        <v>0.65582129740707595</v>
      </c>
      <c r="AC180" s="626">
        <v>0.65374328357873812</v>
      </c>
      <c r="AD180" s="626">
        <v>0.65166590846700301</v>
      </c>
      <c r="AE180" s="626">
        <v>0.64959441740938795</v>
      </c>
      <c r="AF180" s="626">
        <v>0.64752836707760997</v>
      </c>
      <c r="AG180" s="626">
        <v>0.64546813086771604</v>
      </c>
    </row>
    <row r="181" spans="1:33" x14ac:dyDescent="0.3">
      <c r="A181" s="369" t="s">
        <v>89</v>
      </c>
      <c r="B181" s="370" t="s">
        <v>89</v>
      </c>
      <c r="C181" s="626">
        <v>0.69845644923148797</v>
      </c>
      <c r="D181" s="626">
        <v>0.69573082824878196</v>
      </c>
      <c r="E181" s="626">
        <v>0.69334574184676401</v>
      </c>
      <c r="F181" s="626">
        <v>0.69082076249228885</v>
      </c>
      <c r="G181" s="626">
        <v>0.68175058133685895</v>
      </c>
      <c r="H181" s="626">
        <v>0.67190404814462001</v>
      </c>
      <c r="I181" s="626">
        <v>0.66168505068907213</v>
      </c>
      <c r="J181" s="626">
        <v>0.65111163519932302</v>
      </c>
      <c r="K181" s="626">
        <v>0.64065274614065204</v>
      </c>
      <c r="L181" s="626">
        <v>0.63097076820362996</v>
      </c>
      <c r="M181" s="626">
        <v>0.62239192690759804</v>
      </c>
      <c r="N181" s="626">
        <v>0.61680172821101398</v>
      </c>
      <c r="O181" s="626">
        <v>0.61228721252243801</v>
      </c>
      <c r="P181" s="626">
        <v>0.60825646027548697</v>
      </c>
      <c r="Q181" s="626">
        <v>0.60397863840121602</v>
      </c>
      <c r="R181" s="626">
        <v>0.59909129719924903</v>
      </c>
      <c r="S181" s="626">
        <v>0.59431130708315305</v>
      </c>
      <c r="T181" s="626">
        <v>0.58816827481965395</v>
      </c>
      <c r="U181" s="626">
        <v>0.58208922298283805</v>
      </c>
      <c r="V181" s="626">
        <v>0.57664354283512698</v>
      </c>
      <c r="W181" s="626">
        <v>0.57209206770874999</v>
      </c>
      <c r="X181" s="626">
        <v>0.56774486449350003</v>
      </c>
      <c r="Y181" s="626">
        <v>0.56400349059996302</v>
      </c>
      <c r="Z181" s="626">
        <v>0.56087085785295998</v>
      </c>
      <c r="AA181" s="626">
        <v>0.55838747827313795</v>
      </c>
      <c r="AB181" s="626">
        <v>0.55654096606905501</v>
      </c>
      <c r="AC181" s="626">
        <v>0.55588537372700497</v>
      </c>
      <c r="AD181" s="626">
        <v>0.55587871483607598</v>
      </c>
      <c r="AE181" s="626">
        <v>0.55592925277189997</v>
      </c>
      <c r="AF181" s="626">
        <v>0.555248996174453</v>
      </c>
      <c r="AG181" s="626">
        <v>0.55343825985208495</v>
      </c>
    </row>
    <row r="182" spans="1:33" x14ac:dyDescent="0.3">
      <c r="A182" s="369" t="s">
        <v>90</v>
      </c>
      <c r="B182" s="370" t="s">
        <v>90</v>
      </c>
      <c r="C182" s="626">
        <v>0.66356771299915596</v>
      </c>
      <c r="D182" s="626">
        <v>0.66146065267781096</v>
      </c>
      <c r="E182" s="626">
        <v>0.65946863577859505</v>
      </c>
      <c r="F182" s="626">
        <v>0.65757727262819299</v>
      </c>
      <c r="G182" s="626">
        <v>0.65581370205983502</v>
      </c>
      <c r="H182" s="626">
        <v>0.6541928370820691</v>
      </c>
      <c r="I182" s="626">
        <v>0.65300013701464688</v>
      </c>
      <c r="J182" s="626">
        <v>0.65191967219999503</v>
      </c>
      <c r="K182" s="626">
        <v>0.65075919942350391</v>
      </c>
      <c r="L182" s="626">
        <v>0.64928906164941902</v>
      </c>
      <c r="M182" s="626">
        <v>0.64739670129475702</v>
      </c>
      <c r="N182" s="626">
        <v>0.64532015196298109</v>
      </c>
      <c r="O182" s="626">
        <v>0.64288139461650384</v>
      </c>
      <c r="P182" s="626">
        <v>0.64006065539374202</v>
      </c>
      <c r="Q182" s="626">
        <v>0.63686448243236005</v>
      </c>
      <c r="R182" s="626">
        <v>0.63329801597346302</v>
      </c>
      <c r="S182" s="626">
        <v>0.62953675104860596</v>
      </c>
      <c r="T182" s="626">
        <v>0.62546490908984298</v>
      </c>
      <c r="U182" s="626">
        <v>0.62117855589966298</v>
      </c>
      <c r="V182" s="626">
        <v>0.61682491901048098</v>
      </c>
      <c r="W182" s="626">
        <v>0.61251618318605106</v>
      </c>
      <c r="X182" s="626">
        <v>0.60837144739508897</v>
      </c>
      <c r="Y182" s="626">
        <v>0.60426132946424005</v>
      </c>
      <c r="Z182" s="626">
        <v>0.60024987133540697</v>
      </c>
      <c r="AA182" s="626">
        <v>0.596441470187561</v>
      </c>
      <c r="AB182" s="626">
        <v>0.59289715272425203</v>
      </c>
      <c r="AC182" s="626">
        <v>0.58968878468965902</v>
      </c>
      <c r="AD182" s="626">
        <v>0.58670491130510205</v>
      </c>
      <c r="AE182" s="626">
        <v>0.583889223000156</v>
      </c>
      <c r="AF182" s="626">
        <v>0.58118103114656705</v>
      </c>
      <c r="AG182" s="626">
        <v>0.57854564527168595</v>
      </c>
    </row>
    <row r="183" spans="1:33" x14ac:dyDescent="0.3">
      <c r="A183" s="369" t="s">
        <v>407</v>
      </c>
      <c r="B183" s="370" t="s">
        <v>407</v>
      </c>
      <c r="C183" s="626">
        <v>0.50725050358446599</v>
      </c>
      <c r="D183" s="626">
        <v>0.51105550504394504</v>
      </c>
      <c r="E183" s="626">
        <v>0.51609848043831896</v>
      </c>
      <c r="F183" s="626">
        <v>0.52155278602323796</v>
      </c>
      <c r="G183" s="626">
        <v>0.52627246717288201</v>
      </c>
      <c r="H183" s="626">
        <v>0.52933914267964399</v>
      </c>
      <c r="I183" s="626">
        <v>0.52989937202429804</v>
      </c>
      <c r="J183" s="626">
        <v>0.52906834810178005</v>
      </c>
      <c r="K183" s="626">
        <v>0.52714295374954701</v>
      </c>
      <c r="L183" s="626">
        <v>0.52490957689080697</v>
      </c>
      <c r="M183" s="626">
        <v>0.52282421601400797</v>
      </c>
      <c r="N183" s="626">
        <v>0.523046618222471</v>
      </c>
      <c r="O183" s="626">
        <v>0.52361447998390698</v>
      </c>
      <c r="P183" s="626">
        <v>0.52379878672293501</v>
      </c>
      <c r="Q183" s="626">
        <v>0.52307568605030996</v>
      </c>
      <c r="R183" s="626">
        <v>0.52119964402618701</v>
      </c>
      <c r="S183" s="626">
        <v>0.51843828894861099</v>
      </c>
      <c r="T183" s="626">
        <v>0.51526563784350099</v>
      </c>
      <c r="U183" s="626">
        <v>0.51194144509359696</v>
      </c>
      <c r="V183" s="626">
        <v>0.50877859467513598</v>
      </c>
      <c r="W183" s="626">
        <v>0.50608737649657098</v>
      </c>
      <c r="X183" s="626">
        <v>0.50477645053808695</v>
      </c>
      <c r="Y183" s="626">
        <v>0.50412076602199496</v>
      </c>
      <c r="Z183" s="626">
        <v>0.503769714178262</v>
      </c>
      <c r="AA183" s="626">
        <v>0.50328776377600504</v>
      </c>
      <c r="AB183" s="626">
        <v>0.50253717513289997</v>
      </c>
      <c r="AC183" s="626">
        <v>0.50264011247854501</v>
      </c>
      <c r="AD183" s="626">
        <v>0.50264164861351801</v>
      </c>
      <c r="AE183" s="626">
        <v>0.50258482133295301</v>
      </c>
      <c r="AF183" s="626">
        <v>0.502455199830383</v>
      </c>
      <c r="AG183" s="626">
        <v>0.50230517965959198</v>
      </c>
    </row>
    <row r="184" spans="1:33" x14ac:dyDescent="0.3">
      <c r="A184" s="369" t="s">
        <v>377</v>
      </c>
      <c r="B184" s="370" t="s">
        <v>377</v>
      </c>
      <c r="C184" s="626">
        <v>0.49467061769001702</v>
      </c>
      <c r="D184" s="626">
        <v>0.49092996179098802</v>
      </c>
      <c r="E184" s="626">
        <v>0.48801779540358903</v>
      </c>
      <c r="F184" s="626">
        <v>0.48580443468517198</v>
      </c>
      <c r="G184" s="626">
        <v>0.4841601666118</v>
      </c>
      <c r="H184" s="626">
        <v>0.48299922287719599</v>
      </c>
      <c r="I184" s="626">
        <v>0.48267219033877501</v>
      </c>
      <c r="J184" s="626">
        <v>0.48322172864251001</v>
      </c>
      <c r="K184" s="626">
        <v>0.48439263464369198</v>
      </c>
      <c r="L184" s="626">
        <v>0.48583037830966602</v>
      </c>
      <c r="M184" s="626">
        <v>0.48733510372106503</v>
      </c>
      <c r="N184" s="626">
        <v>0.48834430679340796</v>
      </c>
      <c r="O184" s="626">
        <v>0.48962714050016198</v>
      </c>
      <c r="P184" s="626">
        <v>0.49114433394013302</v>
      </c>
      <c r="Q184" s="626">
        <v>0.49282805017455206</v>
      </c>
      <c r="R184" s="626">
        <v>0.49457841402247898</v>
      </c>
      <c r="S184" s="626">
        <v>0.49632450344971801</v>
      </c>
      <c r="T184" s="626">
        <v>0.49802892942558302</v>
      </c>
      <c r="U184" s="626">
        <v>0.49955276441831098</v>
      </c>
      <c r="V184" s="626">
        <v>0.500737931132201</v>
      </c>
      <c r="W184" s="626">
        <v>0.50148445315469103</v>
      </c>
      <c r="X184" s="626">
        <v>0.50178537334097495</v>
      </c>
      <c r="Y184" s="626">
        <v>0.50161518435652697</v>
      </c>
      <c r="Z184" s="626">
        <v>0.50109462840574803</v>
      </c>
      <c r="AA184" s="626">
        <v>0.50043890811893998</v>
      </c>
      <c r="AB184" s="626">
        <v>0.49979778159234894</v>
      </c>
      <c r="AC184" s="626">
        <v>0.49917141498657797</v>
      </c>
      <c r="AD184" s="626">
        <v>0.498621218640659</v>
      </c>
      <c r="AE184" s="626">
        <v>0.49814204647506199</v>
      </c>
      <c r="AF184" s="626">
        <v>0.49770652824552497</v>
      </c>
      <c r="AG184" s="626">
        <v>0.49730359777445299</v>
      </c>
    </row>
    <row r="185" spans="1:33" x14ac:dyDescent="0.3">
      <c r="A185" s="369" t="s">
        <v>295</v>
      </c>
      <c r="B185" s="370" t="s">
        <v>295</v>
      </c>
      <c r="C185" s="626">
        <v>0.52568567201907701</v>
      </c>
      <c r="D185" s="626">
        <v>0.52148197639095895</v>
      </c>
      <c r="E185" s="626">
        <v>0.51705694990460604</v>
      </c>
      <c r="F185" s="626">
        <v>0.51269076011383397</v>
      </c>
      <c r="G185" s="626">
        <v>0.50874601091165395</v>
      </c>
      <c r="H185" s="626">
        <v>0.50541396352849499</v>
      </c>
      <c r="I185" s="626">
        <v>0.50341590795960001</v>
      </c>
      <c r="J185" s="626">
        <v>0.50201775238799295</v>
      </c>
      <c r="K185" s="626">
        <v>0.50108324044102703</v>
      </c>
      <c r="L185" s="626">
        <v>0.50043603900803602</v>
      </c>
      <c r="M185" s="626">
        <v>0.49997094413846599</v>
      </c>
      <c r="N185" s="626">
        <v>0.50015204997379703</v>
      </c>
      <c r="O185" s="626">
        <v>0.50048367680211903</v>
      </c>
      <c r="P185" s="626">
        <v>0.50070382380387501</v>
      </c>
      <c r="Q185" s="626">
        <v>0.50102183938001599</v>
      </c>
      <c r="R185" s="626">
        <v>0.50132493648726795</v>
      </c>
      <c r="S185" s="626">
        <v>0.50141704738120296</v>
      </c>
      <c r="T185" s="626">
        <v>0.50161739444469799</v>
      </c>
      <c r="U185" s="626">
        <v>0.50189422318269605</v>
      </c>
      <c r="V185" s="626">
        <v>0.50223725536042196</v>
      </c>
      <c r="W185" s="626">
        <v>0.50259766812273499</v>
      </c>
      <c r="X185" s="626">
        <v>0.50290960433473197</v>
      </c>
      <c r="Y185" s="626">
        <v>0.50320812418625105</v>
      </c>
      <c r="Z185" s="626">
        <v>0.50319837565047598</v>
      </c>
      <c r="AA185" s="626">
        <v>0.50246725916339696</v>
      </c>
      <c r="AB185" s="626">
        <v>0.50077662002825296</v>
      </c>
      <c r="AC185" s="626">
        <v>0.49818285924714006</v>
      </c>
      <c r="AD185" s="626">
        <v>0.49473411228743897</v>
      </c>
      <c r="AE185" s="626">
        <v>0.49067145362866199</v>
      </c>
      <c r="AF185" s="626">
        <v>0.48637212194456197</v>
      </c>
      <c r="AG185" s="626">
        <v>0.48211524505648901</v>
      </c>
    </row>
    <row r="186" spans="1:33" x14ac:dyDescent="0.3">
      <c r="A186" s="369" t="s">
        <v>213</v>
      </c>
      <c r="B186" s="370" t="s">
        <v>213</v>
      </c>
      <c r="C186" s="626">
        <v>0.673375182420616</v>
      </c>
      <c r="D186" s="626">
        <v>0.672814981697063</v>
      </c>
      <c r="E186" s="626">
        <v>0.672399484609433</v>
      </c>
      <c r="F186" s="626">
        <v>0.67210407162809105</v>
      </c>
      <c r="G186" s="626">
        <v>0.67190191367524388</v>
      </c>
      <c r="H186" s="626">
        <v>0.67264420123454405</v>
      </c>
      <c r="I186" s="626">
        <v>0.67342219959282001</v>
      </c>
      <c r="J186" s="626">
        <v>0.67427872176376491</v>
      </c>
      <c r="K186" s="626">
        <v>0.67507742612619215</v>
      </c>
      <c r="L186" s="626">
        <v>0.675618539472716</v>
      </c>
      <c r="M186" s="626">
        <v>0.67577995989239392</v>
      </c>
      <c r="N186" s="626">
        <v>0.67556667156299199</v>
      </c>
      <c r="O186" s="626">
        <v>0.67488145965760316</v>
      </c>
      <c r="P186" s="626">
        <v>0.67384307067779603</v>
      </c>
      <c r="Q186" s="626">
        <v>0.67266118275334397</v>
      </c>
      <c r="R186" s="626">
        <v>0.67147271324330504</v>
      </c>
      <c r="S186" s="626">
        <v>0.67035085605843803</v>
      </c>
      <c r="T186" s="626">
        <v>0.66913900301171314</v>
      </c>
      <c r="U186" s="626">
        <v>0.66781293652854201</v>
      </c>
      <c r="V186" s="626">
        <v>0.66635277749527111</v>
      </c>
      <c r="W186" s="626">
        <v>0.66475928385254901</v>
      </c>
      <c r="X186" s="626">
        <v>0.663420728713085</v>
      </c>
      <c r="Y186" s="626">
        <v>0.66211216301950604</v>
      </c>
      <c r="Z186" s="626">
        <v>0.660746631745735</v>
      </c>
      <c r="AA186" s="626">
        <v>0.65921304558535299</v>
      </c>
      <c r="AB186" s="626">
        <v>0.65746166810553186</v>
      </c>
      <c r="AC186" s="626">
        <v>0.65536372909460805</v>
      </c>
      <c r="AD186" s="626">
        <v>0.65307215512428796</v>
      </c>
      <c r="AE186" s="626">
        <v>0.650619697331974</v>
      </c>
      <c r="AF186" s="626">
        <v>0.64801527552809202</v>
      </c>
      <c r="AG186" s="626">
        <v>0.64522308640766002</v>
      </c>
    </row>
    <row r="187" spans="1:33" x14ac:dyDescent="0.3">
      <c r="A187" s="370" t="s">
        <v>215</v>
      </c>
      <c r="B187" s="370" t="s">
        <v>215</v>
      </c>
      <c r="C187" s="626">
        <v>0.64134465114386796</v>
      </c>
      <c r="D187" s="626">
        <v>0.63855705676595198</v>
      </c>
      <c r="E187" s="626">
        <v>0.63516234878270394</v>
      </c>
      <c r="F187" s="626">
        <v>0.63152817314660803</v>
      </c>
      <c r="G187" s="626">
        <v>0.62816451450882604</v>
      </c>
      <c r="H187" s="626">
        <v>0.625402770392392</v>
      </c>
      <c r="I187" s="626">
        <v>0.62345832351814101</v>
      </c>
      <c r="J187" s="626">
        <v>0.62192663080388799</v>
      </c>
      <c r="K187" s="626">
        <v>0.62113415967869001</v>
      </c>
      <c r="L187" s="626">
        <v>0.62155265378193203</v>
      </c>
      <c r="M187" s="626">
        <v>0.62339542810228499</v>
      </c>
      <c r="N187" s="626">
        <v>0.62662029719214696</v>
      </c>
      <c r="O187" s="626">
        <v>0.63124099415576695</v>
      </c>
      <c r="P187" s="626">
        <v>0.63654978274275997</v>
      </c>
      <c r="Q187" s="626">
        <v>0.64146788530048515</v>
      </c>
      <c r="R187" s="626">
        <v>0.64531345123212003</v>
      </c>
      <c r="S187" s="626">
        <v>0.64787247230703404</v>
      </c>
      <c r="T187" s="626">
        <v>0.64927858351068901</v>
      </c>
      <c r="U187" s="626">
        <v>0.64974949519682701</v>
      </c>
      <c r="V187" s="626">
        <v>0.64969609719287502</v>
      </c>
      <c r="W187" s="626">
        <v>0.64932688804705496</v>
      </c>
      <c r="X187" s="626">
        <v>0.64864110643200901</v>
      </c>
      <c r="Y187" s="626">
        <v>0.64763031297236795</v>
      </c>
      <c r="Z187" s="626">
        <v>0.64587768688347291</v>
      </c>
      <c r="AA187" s="626">
        <v>0.64275846056321795</v>
      </c>
      <c r="AB187" s="626">
        <v>0.63799452000809898</v>
      </c>
      <c r="AC187" s="626">
        <v>0.63184031926655004</v>
      </c>
      <c r="AD187" s="626">
        <v>0.624287295419792</v>
      </c>
      <c r="AE187" s="626">
        <v>0.61613639615166305</v>
      </c>
      <c r="AF187" s="626">
        <v>0.608497969337226</v>
      </c>
      <c r="AG187" s="626">
        <v>0.602002420375784</v>
      </c>
    </row>
    <row r="188" spans="1:33" x14ac:dyDescent="0.3">
      <c r="A188" s="369" t="s">
        <v>47</v>
      </c>
      <c r="B188" s="370" t="s">
        <v>47</v>
      </c>
      <c r="C188" s="626">
        <v>0.63957383833428505</v>
      </c>
      <c r="D188" s="626">
        <v>0.63662896319085904</v>
      </c>
      <c r="E188" s="626">
        <v>0.63365177845490805</v>
      </c>
      <c r="F188" s="626">
        <v>0.63069287949536901</v>
      </c>
      <c r="G188" s="626">
        <v>0.62780593565597897</v>
      </c>
      <c r="H188" s="626">
        <v>0.62502419652458396</v>
      </c>
      <c r="I188" s="626">
        <v>0.62254172135933805</v>
      </c>
      <c r="J188" s="626">
        <v>0.62010719860390295</v>
      </c>
      <c r="K188" s="626">
        <v>0.61775331639671704</v>
      </c>
      <c r="L188" s="626">
        <v>0.61551125394720096</v>
      </c>
      <c r="M188" s="626">
        <v>0.61339095977812297</v>
      </c>
      <c r="N188" s="626">
        <v>0.61150923775954102</v>
      </c>
      <c r="O188" s="626">
        <v>0.60889662652063403</v>
      </c>
      <c r="P188" s="626">
        <v>0.60631788076005499</v>
      </c>
      <c r="Q188" s="626">
        <v>0.60374206082619297</v>
      </c>
      <c r="R188" s="626">
        <v>0.601152326152809</v>
      </c>
      <c r="S188" s="626">
        <v>0.59861760723891899</v>
      </c>
      <c r="T188" s="626">
        <v>0.59586289277705395</v>
      </c>
      <c r="U188" s="626">
        <v>0.59296309027860705</v>
      </c>
      <c r="V188" s="626">
        <v>0.58992248909399503</v>
      </c>
      <c r="W188" s="626">
        <v>0.58675304849415599</v>
      </c>
      <c r="X188" s="626">
        <v>0.58348993594868204</v>
      </c>
      <c r="Y188" s="626">
        <v>0.58012253782318701</v>
      </c>
      <c r="Z188" s="626">
        <v>0.57668433652317996</v>
      </c>
      <c r="AA188" s="626">
        <v>0.57321425269434101</v>
      </c>
      <c r="AB188" s="626">
        <v>0.56974041741132198</v>
      </c>
      <c r="AC188" s="626">
        <v>0.566267652574034</v>
      </c>
      <c r="AD188" s="626">
        <v>0.56280142523437304</v>
      </c>
      <c r="AE188" s="626">
        <v>0.55937196968809999</v>
      </c>
      <c r="AF188" s="626">
        <v>0.55601657277997896</v>
      </c>
      <c r="AG188" s="626">
        <v>0.55276197498864599</v>
      </c>
    </row>
    <row r="189" spans="1:33" x14ac:dyDescent="0.3">
      <c r="A189" s="369" t="s">
        <v>217</v>
      </c>
      <c r="B189" s="370" t="s">
        <v>217</v>
      </c>
      <c r="C189" s="626">
        <v>0.65353215285629185</v>
      </c>
      <c r="D189" s="626">
        <v>0.64834595923066307</v>
      </c>
      <c r="E189" s="626">
        <v>0.6435083596631721</v>
      </c>
      <c r="F189" s="626">
        <v>0.63910917305429205</v>
      </c>
      <c r="G189" s="626">
        <v>0.63526924946195495</v>
      </c>
      <c r="H189" s="626">
        <v>0.632063120790195</v>
      </c>
      <c r="I189" s="626">
        <v>0.62868645769420295</v>
      </c>
      <c r="J189" s="626">
        <v>0.62611133444073497</v>
      </c>
      <c r="K189" s="626">
        <v>0.62435987101420198</v>
      </c>
      <c r="L189" s="626">
        <v>0.62313653302668404</v>
      </c>
      <c r="M189" s="626">
        <v>0.62210613196611997</v>
      </c>
      <c r="N189" s="626">
        <v>0.62134421854764299</v>
      </c>
      <c r="O189" s="626">
        <v>0.62050949617458695</v>
      </c>
      <c r="P189" s="626">
        <v>0.61913316072147395</v>
      </c>
      <c r="Q189" s="626">
        <v>0.617750870897114</v>
      </c>
      <c r="R189" s="626">
        <v>0.61628769268907801</v>
      </c>
      <c r="S189" s="626">
        <v>0.61471376128163702</v>
      </c>
      <c r="T189" s="626">
        <v>0.61295919305567403</v>
      </c>
      <c r="U189" s="626">
        <v>0.610777435167564</v>
      </c>
      <c r="V189" s="626">
        <v>0.60781663756547799</v>
      </c>
      <c r="W189" s="626">
        <v>0.60387258233568697</v>
      </c>
      <c r="X189" s="626">
        <v>0.59896257941905395</v>
      </c>
      <c r="Y189" s="626">
        <v>0.59305817593310195</v>
      </c>
      <c r="Z189" s="626">
        <v>0.58650342493265795</v>
      </c>
      <c r="AA189" s="626">
        <v>0.57985267639820903</v>
      </c>
      <c r="AB189" s="626">
        <v>0.57349120183152702</v>
      </c>
      <c r="AC189" s="626">
        <v>0.56733859456397795</v>
      </c>
      <c r="AD189" s="626">
        <v>0.56142582986350398</v>
      </c>
      <c r="AE189" s="626">
        <v>0.55597392137578905</v>
      </c>
      <c r="AF189" s="626">
        <v>0.55127643089965706</v>
      </c>
      <c r="AG189" s="626">
        <v>0.54752950565154501</v>
      </c>
    </row>
    <row r="190" spans="1:33" x14ac:dyDescent="0.3">
      <c r="A190" s="369" t="s">
        <v>322</v>
      </c>
      <c r="B190" s="370" t="s">
        <v>322</v>
      </c>
      <c r="C190" s="626">
        <v>0.61227310990097805</v>
      </c>
      <c r="D190" s="626">
        <v>0.60427489316598004</v>
      </c>
      <c r="E190" s="626">
        <v>0.60168873544783696</v>
      </c>
      <c r="F190" s="626">
        <v>0.60444334123374499</v>
      </c>
      <c r="G190" s="626">
        <v>0.61164569275152403</v>
      </c>
      <c r="H190" s="626">
        <v>0.62195540344178701</v>
      </c>
      <c r="I190" s="626">
        <v>0.62058988793991199</v>
      </c>
      <c r="J190" s="626">
        <v>0.62469566721389402</v>
      </c>
      <c r="K190" s="626">
        <v>0.63344354958716498</v>
      </c>
      <c r="L190" s="626">
        <v>0.64531691264581392</v>
      </c>
      <c r="M190" s="626">
        <v>0.65857228333300999</v>
      </c>
      <c r="N190" s="626">
        <v>0.66206040007336897</v>
      </c>
      <c r="O190" s="626">
        <v>0.66748813481772507</v>
      </c>
      <c r="P190" s="626">
        <v>0.67512775380391699</v>
      </c>
      <c r="Q190" s="626">
        <v>0.68466623154416895</v>
      </c>
      <c r="R190" s="626">
        <v>0.69527699747603411</v>
      </c>
      <c r="S190" s="626">
        <v>0.69349743904960703</v>
      </c>
      <c r="T190" s="626">
        <v>0.69212856708563697</v>
      </c>
      <c r="U190" s="626">
        <v>0.69160924569423898</v>
      </c>
      <c r="V190" s="626">
        <v>0.69213614921302191</v>
      </c>
      <c r="W190" s="626">
        <v>0.69364188921042202</v>
      </c>
      <c r="X190" s="626">
        <v>0.68930885983212808</v>
      </c>
      <c r="Y190" s="626">
        <v>0.68479740309946902</v>
      </c>
      <c r="Z190" s="626">
        <v>0.68061484801691885</v>
      </c>
      <c r="AA190" s="626">
        <v>0.67720202601980484</v>
      </c>
      <c r="AB190" s="626">
        <v>0.67475204935369704</v>
      </c>
      <c r="AC190" s="626">
        <v>0.66769422425894409</v>
      </c>
      <c r="AD190" s="626">
        <v>0.66070570951876095</v>
      </c>
      <c r="AE190" s="626">
        <v>0.65437695100229187</v>
      </c>
      <c r="AF190" s="626">
        <v>0.64928135283439303</v>
      </c>
      <c r="AG190" s="626">
        <v>0.64577183737318289</v>
      </c>
    </row>
    <row r="191" spans="1:33" x14ac:dyDescent="0.3">
      <c r="A191" s="369" t="s">
        <v>344</v>
      </c>
      <c r="B191" s="370" t="s">
        <v>344</v>
      </c>
      <c r="C191" s="626">
        <v>0.61551444299115599</v>
      </c>
      <c r="D191" s="626">
        <v>0.60913683898049398</v>
      </c>
      <c r="E191" s="626">
        <v>0.60279421108446396</v>
      </c>
      <c r="F191" s="626">
        <v>0.59670033884158502</v>
      </c>
      <c r="G191" s="626">
        <v>0.59096705671277605</v>
      </c>
      <c r="H191" s="626">
        <v>0.58560971029878695</v>
      </c>
      <c r="I191" s="626">
        <v>0.57886545250065502</v>
      </c>
      <c r="J191" s="626">
        <v>0.57256845643751397</v>
      </c>
      <c r="K191" s="626">
        <v>0.56681399664167298</v>
      </c>
      <c r="L191" s="626">
        <v>0.56159713192190597</v>
      </c>
      <c r="M191" s="626">
        <v>0.55686306751979897</v>
      </c>
      <c r="N191" s="626">
        <v>0.55233961034065104</v>
      </c>
      <c r="O191" s="626">
        <v>0.54708177240854405</v>
      </c>
      <c r="P191" s="626">
        <v>0.54225615872004496</v>
      </c>
      <c r="Q191" s="626">
        <v>0.537947448821672</v>
      </c>
      <c r="R191" s="626">
        <v>0.53420642443509303</v>
      </c>
      <c r="S191" s="626">
        <v>0.53042340835356105</v>
      </c>
      <c r="T191" s="626">
        <v>0.52711597602980198</v>
      </c>
      <c r="U191" s="626">
        <v>0.52418437710295296</v>
      </c>
      <c r="V191" s="626">
        <v>0.52143982422212698</v>
      </c>
      <c r="W191" s="626">
        <v>0.51878231577163303</v>
      </c>
      <c r="X191" s="626">
        <v>0.51617124381597101</v>
      </c>
      <c r="Y191" s="626">
        <v>0.51353759497876195</v>
      </c>
      <c r="Z191" s="626">
        <v>0.51095502764384604</v>
      </c>
      <c r="AA191" s="626">
        <v>0.50852614630637405</v>
      </c>
      <c r="AB191" s="626">
        <v>0.50633014372078899</v>
      </c>
      <c r="AC191" s="626">
        <v>0.50400125927915995</v>
      </c>
      <c r="AD191" s="626">
        <v>0.50183652902760301</v>
      </c>
      <c r="AE191" s="626">
        <v>0.49997395440641496</v>
      </c>
      <c r="AF191" s="626">
        <v>0.49858662268743997</v>
      </c>
      <c r="AG191" s="626">
        <v>0.49778847248623398</v>
      </c>
    </row>
    <row r="192" spans="1:33" x14ac:dyDescent="0.3">
      <c r="A192" s="369" t="s">
        <v>378</v>
      </c>
      <c r="B192" s="370" t="s">
        <v>378</v>
      </c>
      <c r="C192" s="626">
        <v>0.43685520084643698</v>
      </c>
      <c r="D192" s="626">
        <v>0.43690106371352599</v>
      </c>
      <c r="E192" s="626">
        <v>0.43805096771837598</v>
      </c>
      <c r="F192" s="626">
        <v>0.44036347870816001</v>
      </c>
      <c r="G192" s="626">
        <v>0.44348234618661292</v>
      </c>
      <c r="H192" s="626">
        <v>0.446974406963278</v>
      </c>
      <c r="I192" s="626">
        <v>0.45058092791295201</v>
      </c>
      <c r="J192" s="626">
        <v>0.45406184451918707</v>
      </c>
      <c r="K192" s="626">
        <v>0.457260641263941</v>
      </c>
      <c r="L192" s="626">
        <v>0.460623150367373</v>
      </c>
      <c r="M192" s="626">
        <v>0.46410131494804202</v>
      </c>
      <c r="N192" s="626">
        <v>0.46564226804123698</v>
      </c>
      <c r="O192" s="626">
        <v>0.46733576533156101</v>
      </c>
      <c r="P192" s="626">
        <v>0.46899905936189101</v>
      </c>
      <c r="Q192" s="626">
        <v>0.47051101405405399</v>
      </c>
      <c r="R192" s="626">
        <v>0.47159967776110201</v>
      </c>
      <c r="S192" s="626">
        <v>0.472560428692889</v>
      </c>
      <c r="T192" s="626">
        <v>0.47363270120678697</v>
      </c>
      <c r="U192" s="626">
        <v>0.47466920388170908</v>
      </c>
      <c r="V192" s="626">
        <v>0.47536478696158307</v>
      </c>
      <c r="W192" s="626">
        <v>0.47555507417000198</v>
      </c>
      <c r="X192" s="626">
        <v>0.47586320159415502</v>
      </c>
      <c r="Y192" s="626">
        <v>0.47577731722458305</v>
      </c>
      <c r="Z192" s="626">
        <v>0.47551627214673298</v>
      </c>
      <c r="AA192" s="626">
        <v>0.47536715596330298</v>
      </c>
      <c r="AB192" s="626">
        <v>0.47563135626153702</v>
      </c>
      <c r="AC192" s="626">
        <v>0.47693412264427304</v>
      </c>
      <c r="AD192" s="626">
        <v>0.47877747791952902</v>
      </c>
      <c r="AE192" s="626">
        <v>0.48107123186259998</v>
      </c>
      <c r="AF192" s="626">
        <v>0.48380549041041399</v>
      </c>
      <c r="AG192" s="626">
        <v>0.48700702589013001</v>
      </c>
    </row>
    <row r="193" spans="1:33" x14ac:dyDescent="0.3">
      <c r="A193" s="369" t="s">
        <v>387</v>
      </c>
      <c r="B193" s="370" t="s">
        <v>387</v>
      </c>
      <c r="C193" s="626">
        <v>0.56402288611722595</v>
      </c>
      <c r="D193" s="626">
        <v>0.56343385312176697</v>
      </c>
      <c r="E193" s="626">
        <v>0.56238738658786902</v>
      </c>
      <c r="F193" s="626">
        <v>0.56085738301916799</v>
      </c>
      <c r="G193" s="626">
        <v>0.55887432008485105</v>
      </c>
      <c r="H193" s="626">
        <v>0.55649849892158898</v>
      </c>
      <c r="I193" s="626">
        <v>0.55405771392918202</v>
      </c>
      <c r="J193" s="626">
        <v>0.55133220527097204</v>
      </c>
      <c r="K193" s="626">
        <v>0.54845420324861205</v>
      </c>
      <c r="L193" s="626">
        <v>0.54563142204063997</v>
      </c>
      <c r="M193" s="626">
        <v>0.542997105742963</v>
      </c>
      <c r="N193" s="626">
        <v>0.54070966251659103</v>
      </c>
      <c r="O193" s="626">
        <v>0.53853222111419896</v>
      </c>
      <c r="P193" s="626">
        <v>0.53665358662146601</v>
      </c>
      <c r="Q193" s="626">
        <v>0.53503074724302702</v>
      </c>
      <c r="R193" s="626">
        <v>0.53365001915315102</v>
      </c>
      <c r="S193" s="626">
        <v>0.53260191002047996</v>
      </c>
      <c r="T193" s="626">
        <v>0.53184781738807496</v>
      </c>
      <c r="U193" s="626">
        <v>0.53134070482052698</v>
      </c>
      <c r="V193" s="626">
        <v>0.53103450504146199</v>
      </c>
      <c r="W193" s="626">
        <v>0.53089373373012305</v>
      </c>
      <c r="X193" s="626">
        <v>0.53097248126861396</v>
      </c>
      <c r="Y193" s="626">
        <v>0.53123726178348596</v>
      </c>
      <c r="Z193" s="626">
        <v>0.53158376699960097</v>
      </c>
      <c r="AA193" s="626">
        <v>0.53186956766343196</v>
      </c>
      <c r="AB193" s="626">
        <v>0.53200801114868201</v>
      </c>
      <c r="AC193" s="626">
        <v>0.53205815757305297</v>
      </c>
      <c r="AD193" s="626">
        <v>0.53194661735298598</v>
      </c>
      <c r="AE193" s="626">
        <v>0.53174398475211804</v>
      </c>
      <c r="AF193" s="626">
        <v>0.53159388537007801</v>
      </c>
      <c r="AG193" s="626">
        <v>0.53159445451041998</v>
      </c>
    </row>
    <row r="194" spans="1:33" x14ac:dyDescent="0.3">
      <c r="A194" s="369" t="s">
        <v>91</v>
      </c>
      <c r="B194" s="370" t="s">
        <v>91</v>
      </c>
      <c r="C194" s="626">
        <v>0.65712644166059386</v>
      </c>
      <c r="D194" s="626">
        <v>0.65509886351358504</v>
      </c>
      <c r="E194" s="626">
        <v>0.65277904013618804</v>
      </c>
      <c r="F194" s="626">
        <v>0.65045682131976301</v>
      </c>
      <c r="G194" s="626">
        <v>0.64854290359690092</v>
      </c>
      <c r="H194" s="626">
        <v>0.64729379307955692</v>
      </c>
      <c r="I194" s="626">
        <v>0.64664895512375697</v>
      </c>
      <c r="J194" s="626">
        <v>0.64667655112992395</v>
      </c>
      <c r="K194" s="626">
        <v>0.64737440931052803</v>
      </c>
      <c r="L194" s="626">
        <v>0.64891108910060202</v>
      </c>
      <c r="M194" s="626">
        <v>0.65135645708927503</v>
      </c>
      <c r="N194" s="626">
        <v>0.6546715016066319</v>
      </c>
      <c r="O194" s="626">
        <v>0.65876433574332804</v>
      </c>
      <c r="P194" s="626">
        <v>0.66341733127660296</v>
      </c>
      <c r="Q194" s="626">
        <v>0.66832471077918099</v>
      </c>
      <c r="R194" s="626">
        <v>0.67323126201367101</v>
      </c>
      <c r="S194" s="626">
        <v>0.67811503646220994</v>
      </c>
      <c r="T194" s="626">
        <v>0.6830180232313271</v>
      </c>
      <c r="U194" s="626">
        <v>0.68742420013993988</v>
      </c>
      <c r="V194" s="626">
        <v>0.69061209039072802</v>
      </c>
      <c r="W194" s="626">
        <v>0.69214166946721112</v>
      </c>
      <c r="X194" s="626">
        <v>0.69206084400330392</v>
      </c>
      <c r="Y194" s="626">
        <v>0.69036236717910004</v>
      </c>
      <c r="Z194" s="626">
        <v>0.68735375486188699</v>
      </c>
      <c r="AA194" s="626">
        <v>0.68353090150539997</v>
      </c>
      <c r="AB194" s="626">
        <v>0.67922452328016303</v>
      </c>
      <c r="AC194" s="626">
        <v>0.67438462309510494</v>
      </c>
      <c r="AD194" s="626">
        <v>0.66906025242049705</v>
      </c>
      <c r="AE194" s="626">
        <v>0.66341636680767413</v>
      </c>
      <c r="AF194" s="626">
        <v>0.65765450284194304</v>
      </c>
      <c r="AG194" s="626">
        <v>0.65192599196313705</v>
      </c>
    </row>
    <row r="195" spans="1:33" x14ac:dyDescent="0.3">
      <c r="A195" s="369" t="s">
        <v>399</v>
      </c>
      <c r="B195" s="370" t="s">
        <v>399</v>
      </c>
      <c r="C195" s="626">
        <v>0.63687121967655003</v>
      </c>
      <c r="D195" s="626">
        <v>0.63738700844996599</v>
      </c>
      <c r="E195" s="626">
        <v>0.63850949617738595</v>
      </c>
      <c r="F195" s="626">
        <v>0.64008173047315997</v>
      </c>
      <c r="G195" s="626">
        <v>0.64175723019935105</v>
      </c>
      <c r="H195" s="626">
        <v>0.64335044122769702</v>
      </c>
      <c r="I195" s="626">
        <v>0.64272591787394395</v>
      </c>
      <c r="J195" s="626">
        <v>0.643654194053493</v>
      </c>
      <c r="K195" s="626">
        <v>0.64662593445935201</v>
      </c>
      <c r="L195" s="626">
        <v>0.65098508024158808</v>
      </c>
      <c r="M195" s="626">
        <v>0.65527513191946996</v>
      </c>
      <c r="N195" s="626">
        <v>0.65289250960938305</v>
      </c>
      <c r="O195" s="626">
        <v>0.65066544450668184</v>
      </c>
      <c r="P195" s="626">
        <v>0.64987815260919002</v>
      </c>
      <c r="Q195" s="626">
        <v>0.65081579123350997</v>
      </c>
      <c r="R195" s="626">
        <v>0.65268211734656001</v>
      </c>
      <c r="S195" s="626">
        <v>0.6550507466357981</v>
      </c>
      <c r="T195" s="626">
        <v>0.6566121982624441</v>
      </c>
      <c r="U195" s="626">
        <v>0.65723084583316005</v>
      </c>
      <c r="V195" s="626">
        <v>0.65671989037758804</v>
      </c>
      <c r="W195" s="626">
        <v>0.65497647788124203</v>
      </c>
      <c r="X195" s="626">
        <v>0.65203037478135595</v>
      </c>
      <c r="Y195" s="626">
        <v>0.64790639758855295</v>
      </c>
      <c r="Z195" s="626">
        <v>0.64325008868263789</v>
      </c>
      <c r="AA195" s="626">
        <v>0.63891790055640196</v>
      </c>
      <c r="AB195" s="626">
        <v>0.63534384052131099</v>
      </c>
      <c r="AC195" s="626">
        <v>0.63229841423148603</v>
      </c>
      <c r="AD195" s="626">
        <v>0.62984940889781704</v>
      </c>
      <c r="AE195" s="626">
        <v>0.627714212510877</v>
      </c>
      <c r="AF195" s="626">
        <v>0.62550373271647097</v>
      </c>
      <c r="AG195" s="626">
        <v>0.62296991678410196</v>
      </c>
    </row>
    <row r="196" spans="1:33" x14ac:dyDescent="0.3">
      <c r="A196" s="369" t="s">
        <v>388</v>
      </c>
      <c r="B196" s="370" t="s">
        <v>729</v>
      </c>
      <c r="C196" s="626">
        <v>0.53817338781082602</v>
      </c>
      <c r="D196" s="626">
        <v>0.53715692666661197</v>
      </c>
      <c r="E196" s="626">
        <v>0.53591709966178103</v>
      </c>
      <c r="F196" s="626">
        <v>0.53466552263145295</v>
      </c>
      <c r="G196" s="626">
        <v>0.53355397191794596</v>
      </c>
      <c r="H196" s="626">
        <v>0.53266769869913599</v>
      </c>
      <c r="I196" s="626">
        <v>0.53194066182424105</v>
      </c>
      <c r="J196" s="626">
        <v>0.53140842500683705</v>
      </c>
      <c r="K196" s="626">
        <v>0.53102895709721898</v>
      </c>
      <c r="L196" s="626">
        <v>0.53073569289820999</v>
      </c>
      <c r="M196" s="626">
        <v>0.53048801565874104</v>
      </c>
      <c r="N196" s="626">
        <v>0.53029628778700799</v>
      </c>
      <c r="O196" s="626">
        <v>0.53016490203424904</v>
      </c>
      <c r="P196" s="626">
        <v>0.53005876111499395</v>
      </c>
      <c r="Q196" s="626">
        <v>0.52993018405093695</v>
      </c>
      <c r="R196" s="626">
        <v>0.52975255071284899</v>
      </c>
      <c r="S196" s="626">
        <v>0.53123830026684304</v>
      </c>
      <c r="T196" s="626">
        <v>0.53202574956183002</v>
      </c>
      <c r="U196" s="626">
        <v>0.53191303094531805</v>
      </c>
      <c r="V196" s="626">
        <v>0.53093139157645297</v>
      </c>
      <c r="W196" s="626">
        <v>0.52923332037716297</v>
      </c>
      <c r="X196" s="626">
        <v>0.52735929018419303</v>
      </c>
      <c r="Y196" s="626">
        <v>0.52620120128579395</v>
      </c>
      <c r="Z196" s="626">
        <v>0.52560340073115597</v>
      </c>
      <c r="AA196" s="626">
        <v>0.52537714584308204</v>
      </c>
      <c r="AB196" s="626">
        <v>0.52543098004242295</v>
      </c>
      <c r="AC196" s="626">
        <v>0.52519799012551605</v>
      </c>
      <c r="AD196" s="626">
        <v>0.525036417050884</v>
      </c>
      <c r="AE196" s="626">
        <v>0.52515833779883603</v>
      </c>
      <c r="AF196" s="626">
        <v>0.52589134353219302</v>
      </c>
      <c r="AG196" s="626">
        <v>0.52740478326547602</v>
      </c>
    </row>
    <row r="197" spans="1:33" x14ac:dyDescent="0.3">
      <c r="A197" s="369" t="s">
        <v>92</v>
      </c>
      <c r="B197" s="370" t="s">
        <v>92</v>
      </c>
      <c r="C197" s="626">
        <v>0.64823158779588397</v>
      </c>
      <c r="D197" s="626">
        <v>0.65070702528355095</v>
      </c>
      <c r="E197" s="626">
        <v>0.65302096605848803</v>
      </c>
      <c r="F197" s="626">
        <v>0.65520547839931598</v>
      </c>
      <c r="G197" s="626">
        <v>0.65730739450535514</v>
      </c>
      <c r="H197" s="626">
        <v>0.65941322883824716</v>
      </c>
      <c r="I197" s="626">
        <v>0.66162832580052688</v>
      </c>
      <c r="J197" s="626">
        <v>0.66370555838414802</v>
      </c>
      <c r="K197" s="626">
        <v>0.66607181246647007</v>
      </c>
      <c r="L197" s="626">
        <v>0.66938829674983003</v>
      </c>
      <c r="M197" s="626">
        <v>0.67405009735342503</v>
      </c>
      <c r="N197" s="626">
        <v>0.68014547604202702</v>
      </c>
      <c r="O197" s="626">
        <v>0.68757310873918398</v>
      </c>
      <c r="P197" s="626">
        <v>0.69579361893245395</v>
      </c>
      <c r="Q197" s="626">
        <v>0.70394307077318108</v>
      </c>
      <c r="R197" s="626">
        <v>0.71095625814394703</v>
      </c>
      <c r="S197" s="626">
        <v>0.71722255789634404</v>
      </c>
      <c r="T197" s="626">
        <v>0.72260381344899605</v>
      </c>
      <c r="U197" s="626">
        <v>0.72697564118742297</v>
      </c>
      <c r="V197" s="626">
        <v>0.73024893674876201</v>
      </c>
      <c r="W197" s="626">
        <v>0.73237299068579598</v>
      </c>
      <c r="X197" s="626">
        <v>0.73342435566905795</v>
      </c>
      <c r="Y197" s="626">
        <v>0.73316567152395895</v>
      </c>
      <c r="Z197" s="626">
        <v>0.73176115973804001</v>
      </c>
      <c r="AA197" s="626">
        <v>0.72952028473791297</v>
      </c>
      <c r="AB197" s="626">
        <v>0.726675376863821</v>
      </c>
      <c r="AC197" s="626">
        <v>0.72336329133693988</v>
      </c>
      <c r="AD197" s="626">
        <v>0.71947008034488003</v>
      </c>
      <c r="AE197" s="626">
        <v>0.71502917264483301</v>
      </c>
      <c r="AF197" s="626">
        <v>0.71007834444288909</v>
      </c>
      <c r="AG197" s="626">
        <v>0.70468581674325503</v>
      </c>
    </row>
    <row r="198" spans="1:33" x14ac:dyDescent="0.3">
      <c r="A198" s="369" t="s">
        <v>93</v>
      </c>
      <c r="B198" s="370" t="s">
        <v>93</v>
      </c>
      <c r="C198" s="626">
        <v>0.69006456020803697</v>
      </c>
      <c r="D198" s="626">
        <v>0.68671429791481797</v>
      </c>
      <c r="E198" s="626">
        <v>0.68440232562871306</v>
      </c>
      <c r="F198" s="626">
        <v>0.68284589939781004</v>
      </c>
      <c r="G198" s="626">
        <v>0.68169487528226003</v>
      </c>
      <c r="H198" s="626">
        <v>0.68074156635434013</v>
      </c>
      <c r="I198" s="626">
        <v>0.67680362024792695</v>
      </c>
      <c r="J198" s="626">
        <v>0.67286120038872699</v>
      </c>
      <c r="K198" s="626">
        <v>0.66916645038372413</v>
      </c>
      <c r="L198" s="626">
        <v>0.66600005510224103</v>
      </c>
      <c r="M198" s="626">
        <v>0.66347941412818601</v>
      </c>
      <c r="N198" s="626">
        <v>0.66072411642259299</v>
      </c>
      <c r="O198" s="626">
        <v>0.65860364918160696</v>
      </c>
      <c r="P198" s="626">
        <v>0.657082374287564</v>
      </c>
      <c r="Q198" s="626">
        <v>0.65590475007174798</v>
      </c>
      <c r="R198" s="626">
        <v>0.65482466773869907</v>
      </c>
      <c r="S198" s="626">
        <v>0.65313626256851687</v>
      </c>
      <c r="T198" s="626">
        <v>0.65139196330732707</v>
      </c>
      <c r="U198" s="626">
        <v>0.64971640291817712</v>
      </c>
      <c r="V198" s="626">
        <v>0.648217036445631</v>
      </c>
      <c r="W198" s="626">
        <v>0.64689108403017892</v>
      </c>
      <c r="X198" s="626">
        <v>0.64447117762184403</v>
      </c>
      <c r="Y198" s="626">
        <v>0.64217806984691705</v>
      </c>
      <c r="Z198" s="626">
        <v>0.63995624931738404</v>
      </c>
      <c r="AA198" s="626">
        <v>0.63760767870760005</v>
      </c>
      <c r="AB198" s="626">
        <v>0.63500130337801897</v>
      </c>
      <c r="AC198" s="626">
        <v>0.63101619860754499</v>
      </c>
      <c r="AD198" s="626">
        <v>0.62678269400695097</v>
      </c>
      <c r="AE198" s="626">
        <v>0.62257889824757096</v>
      </c>
      <c r="AF198" s="626">
        <v>0.61871485449147001</v>
      </c>
      <c r="AG198" s="626">
        <v>0.61535528761208402</v>
      </c>
    </row>
    <row r="199" spans="1:33" x14ac:dyDescent="0.3">
      <c r="A199" s="369" t="s">
        <v>94</v>
      </c>
      <c r="B199" s="370" t="s">
        <v>94</v>
      </c>
      <c r="C199" s="626">
        <v>0.64140153293620084</v>
      </c>
      <c r="D199" s="626">
        <v>0.63392871555430397</v>
      </c>
      <c r="E199" s="626">
        <v>0.62686581300185595</v>
      </c>
      <c r="F199" s="626">
        <v>0.62017459454988699</v>
      </c>
      <c r="G199" s="626">
        <v>0.61686759203681496</v>
      </c>
      <c r="H199" s="626">
        <v>0.61391705238746597</v>
      </c>
      <c r="I199" s="626">
        <v>0.61142267475745504</v>
      </c>
      <c r="J199" s="626">
        <v>0.60920321531326005</v>
      </c>
      <c r="K199" s="626">
        <v>0.60752425184136805</v>
      </c>
      <c r="L199" s="626">
        <v>0.60675069186877995</v>
      </c>
      <c r="M199" s="626">
        <v>0.60700614111081097</v>
      </c>
      <c r="N199" s="626">
        <v>0.60808489911685104</v>
      </c>
      <c r="O199" s="626">
        <v>0.60992015565365598</v>
      </c>
      <c r="P199" s="626">
        <v>0.61214028219927596</v>
      </c>
      <c r="Q199" s="626">
        <v>0.61380019232596805</v>
      </c>
      <c r="R199" s="626">
        <v>0.61489054215843897</v>
      </c>
      <c r="S199" s="626">
        <v>0.61556556788462702</v>
      </c>
      <c r="T199" s="626">
        <v>0.61573927302123499</v>
      </c>
      <c r="U199" s="626">
        <v>0.61544958525441695</v>
      </c>
      <c r="V199" s="626">
        <v>0.614785325175779</v>
      </c>
      <c r="W199" s="626">
        <v>0.61380491849603902</v>
      </c>
      <c r="X199" s="626">
        <v>0.61253933489270995</v>
      </c>
      <c r="Y199" s="626">
        <v>0.61099877999874497</v>
      </c>
      <c r="Z199" s="626">
        <v>0.60918596131823699</v>
      </c>
      <c r="AA199" s="626">
        <v>0.60709985631366803</v>
      </c>
      <c r="AB199" s="626">
        <v>0.60475626351154099</v>
      </c>
      <c r="AC199" s="626">
        <v>0.60219110688441402</v>
      </c>
      <c r="AD199" s="626">
        <v>0.59942580007148805</v>
      </c>
      <c r="AE199" s="626">
        <v>0.59653443800962203</v>
      </c>
      <c r="AF199" s="626">
        <v>0.59361445632214105</v>
      </c>
      <c r="AG199" s="626">
        <v>0.590714902631302</v>
      </c>
    </row>
    <row r="200" spans="1:33" x14ac:dyDescent="0.3">
      <c r="A200" s="369" t="s">
        <v>48</v>
      </c>
      <c r="B200" s="370" t="s">
        <v>48</v>
      </c>
      <c r="C200" s="626">
        <v>0.62340847084864204</v>
      </c>
      <c r="D200" s="626">
        <v>0.62089448839261996</v>
      </c>
      <c r="E200" s="626">
        <v>0.61830040337663195</v>
      </c>
      <c r="F200" s="626">
        <v>0.61563610084796005</v>
      </c>
      <c r="G200" s="626">
        <v>0.612930091448878</v>
      </c>
      <c r="H200" s="626">
        <v>0.61019977818107796</v>
      </c>
      <c r="I200" s="626">
        <v>0.60809296319960404</v>
      </c>
      <c r="J200" s="626">
        <v>0.605873171620673</v>
      </c>
      <c r="K200" s="626">
        <v>0.60347766916365697</v>
      </c>
      <c r="L200" s="626">
        <v>0.60084942461519897</v>
      </c>
      <c r="M200" s="626">
        <v>0.59797464549888502</v>
      </c>
      <c r="N200" s="626">
        <v>0.59556171383790102</v>
      </c>
      <c r="O200" s="626">
        <v>0.59301513539142803</v>
      </c>
      <c r="P200" s="626">
        <v>0.59032417591291797</v>
      </c>
      <c r="Q200" s="626">
        <v>0.58747530400952697</v>
      </c>
      <c r="R200" s="626">
        <v>0.58437679464322101</v>
      </c>
      <c r="S200" s="626">
        <v>0.58137650242237504</v>
      </c>
      <c r="T200" s="626">
        <v>0.57822130950400197</v>
      </c>
      <c r="U200" s="626">
        <v>0.57502911056722705</v>
      </c>
      <c r="V200" s="626">
        <v>0.57195550951636298</v>
      </c>
      <c r="W200" s="626">
        <v>0.56908394412380003</v>
      </c>
      <c r="X200" s="626">
        <v>0.56644093488214597</v>
      </c>
      <c r="Y200" s="626">
        <v>0.56397220463387898</v>
      </c>
      <c r="Z200" s="626">
        <v>0.56162217398197201</v>
      </c>
      <c r="AA200" s="626">
        <v>0.55931542004869494</v>
      </c>
      <c r="AB200" s="626">
        <v>0.55701773311695602</v>
      </c>
      <c r="AC200" s="626">
        <v>0.55476626748452895</v>
      </c>
      <c r="AD200" s="626">
        <v>0.55251193471014703</v>
      </c>
      <c r="AE200" s="626">
        <v>0.55032686740593995</v>
      </c>
      <c r="AF200" s="626">
        <v>0.54831764214206802</v>
      </c>
      <c r="AG200" s="626">
        <v>0.54652701508738299</v>
      </c>
    </row>
    <row r="201" spans="1:33" x14ac:dyDescent="0.3">
      <c r="A201" s="369" t="s">
        <v>49</v>
      </c>
      <c r="B201" s="370" t="s">
        <v>49</v>
      </c>
      <c r="C201" s="626">
        <v>0.62342195614896301</v>
      </c>
      <c r="D201" s="626">
        <v>0.62180062518072998</v>
      </c>
      <c r="E201" s="626">
        <v>0.61952499584250897</v>
      </c>
      <c r="F201" s="626">
        <v>0.61690033947412903</v>
      </c>
      <c r="G201" s="626">
        <v>0.61441260440658496</v>
      </c>
      <c r="H201" s="626">
        <v>0.61239554539774799</v>
      </c>
      <c r="I201" s="626">
        <v>0.61282195514079996</v>
      </c>
      <c r="J201" s="626">
        <v>0.61359972235996496</v>
      </c>
      <c r="K201" s="626">
        <v>0.61448717116907803</v>
      </c>
      <c r="L201" s="626">
        <v>0.61514602258256701</v>
      </c>
      <c r="M201" s="626">
        <v>0.61537732250247801</v>
      </c>
      <c r="N201" s="626">
        <v>0.61747758168531297</v>
      </c>
      <c r="O201" s="626">
        <v>0.61880994080221596</v>
      </c>
      <c r="P201" s="626">
        <v>0.61931131690203001</v>
      </c>
      <c r="Q201" s="626">
        <v>0.61902224760012203</v>
      </c>
      <c r="R201" s="626">
        <v>0.61802975175652897</v>
      </c>
      <c r="S201" s="626">
        <v>0.61720772243807298</v>
      </c>
      <c r="T201" s="626">
        <v>0.61548334185948295</v>
      </c>
      <c r="U201" s="626">
        <v>0.61278920887372401</v>
      </c>
      <c r="V201" s="626">
        <v>0.60911722569113103</v>
      </c>
      <c r="W201" s="626">
        <v>0.60459460869145798</v>
      </c>
      <c r="X201" s="626">
        <v>0.60109559107848298</v>
      </c>
      <c r="Y201" s="626">
        <v>0.59724627995105894</v>
      </c>
      <c r="Z201" s="626">
        <v>0.59300622385805402</v>
      </c>
      <c r="AA201" s="626">
        <v>0.58832599437991195</v>
      </c>
      <c r="AB201" s="626">
        <v>0.58325993971790002</v>
      </c>
      <c r="AC201" s="626">
        <v>0.57835116837151601</v>
      </c>
      <c r="AD201" s="626">
        <v>0.57320703915292004</v>
      </c>
      <c r="AE201" s="626">
        <v>0.56826411342948202</v>
      </c>
      <c r="AF201" s="626">
        <v>0.56413510053516003</v>
      </c>
      <c r="AG201" s="626">
        <v>0.56113745939464998</v>
      </c>
    </row>
    <row r="205" spans="1:33" x14ac:dyDescent="0.3">
      <c r="A205" s="196" t="s">
        <v>981</v>
      </c>
    </row>
    <row r="206" spans="1:33" x14ac:dyDescent="0.3">
      <c r="A206" s="196" t="s">
        <v>982</v>
      </c>
    </row>
    <row r="208" spans="1:33" x14ac:dyDescent="0.3">
      <c r="A208" s="196" t="s">
        <v>983</v>
      </c>
    </row>
    <row r="209" spans="1:1" x14ac:dyDescent="0.3">
      <c r="A209" s="196" t="s">
        <v>984</v>
      </c>
    </row>
  </sheetData>
  <autoFilter ref="A2:AG201" xr:uid="{00000000-0009-0000-0000-00000B000000}">
    <sortState xmlns:xlrd2="http://schemas.microsoft.com/office/spreadsheetml/2017/richdata2" ref="A3:AG201">
      <sortCondition ref="B2:B201"/>
    </sortState>
  </autoFilter>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00000"/>
  </sheetPr>
  <dimension ref="A1:W39"/>
  <sheetViews>
    <sheetView workbookViewId="0">
      <selection activeCell="D19" sqref="D19"/>
    </sheetView>
  </sheetViews>
  <sheetFormatPr defaultColWidth="9.109375" defaultRowHeight="14.4" x14ac:dyDescent="0.3"/>
  <cols>
    <col min="1" max="1" width="25.6640625" style="9" customWidth="1"/>
    <col min="2" max="4" width="11.6640625" style="9" customWidth="1"/>
    <col min="5" max="5" width="0" style="9" hidden="1" customWidth="1"/>
    <col min="6" max="6" width="12.5546875" style="9" hidden="1" customWidth="1"/>
    <col min="7" max="7" width="12.44140625" style="9" customWidth="1"/>
    <col min="8" max="8" width="15.5546875" style="9" customWidth="1"/>
    <col min="9" max="18" width="9.109375" style="9"/>
    <col min="19" max="19" width="25.88671875" style="9" customWidth="1"/>
    <col min="20" max="20" width="25.109375" style="9" customWidth="1"/>
    <col min="21" max="21" width="23.44140625" style="9" customWidth="1"/>
    <col min="22" max="16384" width="9.109375" style="9"/>
  </cols>
  <sheetData>
    <row r="1" spans="1:23" x14ac:dyDescent="0.3">
      <c r="A1" s="9" t="s">
        <v>757</v>
      </c>
    </row>
    <row r="2" spans="1:23" ht="146.25" customHeight="1" x14ac:dyDescent="0.3">
      <c r="A2" s="419" t="str">
        <f>IF(Language=English,O2,P2)</f>
        <v>Parameter</v>
      </c>
      <c r="B2" s="426" t="str">
        <f>IF(Language=English,S2,S3)</f>
        <v>Percentage of unintended pregnancies terminated by abortion</v>
      </c>
      <c r="C2" s="426" t="str">
        <f>IF(Language=English,T2,T3)</f>
        <v>Mortality rate for unsafe abortions (per 100,000)</v>
      </c>
      <c r="D2" s="426" t="str">
        <f>IF(Language=English,U2,U3)</f>
        <v>Percentage of abortions that are unsafe</v>
      </c>
      <c r="E2" s="172"/>
      <c r="F2" s="426"/>
      <c r="G2" s="426" t="str">
        <f>IF(Language=English,V2,V3)</f>
        <v>Regional MMR</v>
      </c>
      <c r="H2" s="426" t="str">
        <f>IF(Language=English,W2,W3)</f>
        <v>Ratio of 'Mortality rate for unsafe abortions' to 'Regional MMR'</v>
      </c>
      <c r="O2" s="9" t="s">
        <v>220</v>
      </c>
      <c r="P2" s="9" t="s">
        <v>221</v>
      </c>
      <c r="S2" s="63" t="s">
        <v>222</v>
      </c>
      <c r="T2" s="63" t="s">
        <v>223</v>
      </c>
      <c r="U2" s="63" t="s">
        <v>224</v>
      </c>
      <c r="V2" s="63" t="s">
        <v>225</v>
      </c>
      <c r="W2" s="64" t="s">
        <v>226</v>
      </c>
    </row>
    <row r="3" spans="1:23" ht="16.5" customHeight="1" x14ac:dyDescent="0.3">
      <c r="A3" s="419" t="str">
        <f>IF(Language=English,O3,P3)</f>
        <v>Source</v>
      </c>
      <c r="B3" s="420" t="s">
        <v>227</v>
      </c>
      <c r="C3" s="420" t="s">
        <v>228</v>
      </c>
      <c r="D3" s="420" t="s">
        <v>227</v>
      </c>
      <c r="E3" s="419"/>
      <c r="F3" s="420"/>
      <c r="G3" s="421" t="s">
        <v>229</v>
      </c>
      <c r="H3" s="419" t="s">
        <v>466</v>
      </c>
      <c r="O3" s="9" t="s">
        <v>8</v>
      </c>
      <c r="P3" s="9" t="s">
        <v>8</v>
      </c>
      <c r="S3" s="63" t="s">
        <v>230</v>
      </c>
      <c r="T3" s="63" t="s">
        <v>231</v>
      </c>
      <c r="U3" s="63" t="s">
        <v>232</v>
      </c>
      <c r="V3" s="63" t="s">
        <v>233</v>
      </c>
      <c r="W3" s="63" t="s">
        <v>234</v>
      </c>
    </row>
    <row r="4" spans="1:23" x14ac:dyDescent="0.3">
      <c r="A4" s="419" t="str">
        <f>IF(Language=English,O4,P4)</f>
        <v>Region</v>
      </c>
      <c r="B4" s="659"/>
      <c r="C4" s="419"/>
      <c r="D4" s="19"/>
      <c r="E4" s="419"/>
      <c r="F4" s="419"/>
      <c r="G4" s="20"/>
      <c r="H4" s="419"/>
      <c r="O4" s="9" t="s">
        <v>235</v>
      </c>
      <c r="P4" s="9" t="s">
        <v>236</v>
      </c>
    </row>
    <row r="5" spans="1:23" x14ac:dyDescent="0.3">
      <c r="A5" s="419" t="s">
        <v>237</v>
      </c>
      <c r="B5" s="660">
        <v>0.62</v>
      </c>
      <c r="C5" s="419">
        <v>220</v>
      </c>
      <c r="D5" s="660">
        <v>0.52</v>
      </c>
      <c r="E5" s="419"/>
      <c r="F5" s="419"/>
      <c r="G5" s="662">
        <v>415</v>
      </c>
      <c r="H5" s="422">
        <f t="shared" ref="H5:H23" si="0">C5/G5</f>
        <v>0.53012048192771088</v>
      </c>
      <c r="I5" s="67"/>
      <c r="J5" s="663" t="s">
        <v>1027</v>
      </c>
    </row>
    <row r="6" spans="1:23" x14ac:dyDescent="0.3">
      <c r="A6" s="419" t="s">
        <v>238</v>
      </c>
      <c r="B6" s="660">
        <v>0.41</v>
      </c>
      <c r="C6" s="419">
        <v>460</v>
      </c>
      <c r="D6" s="660">
        <v>0.74</v>
      </c>
      <c r="E6" s="419"/>
      <c r="F6" s="419"/>
      <c r="G6" s="662">
        <v>481</v>
      </c>
      <c r="H6" s="422">
        <f t="shared" si="0"/>
        <v>0.95634095634095639</v>
      </c>
      <c r="I6" s="67"/>
      <c r="J6" s="663" t="s">
        <v>1028</v>
      </c>
    </row>
    <row r="7" spans="1:23" x14ac:dyDescent="0.3">
      <c r="A7" s="419" t="s">
        <v>239</v>
      </c>
      <c r="B7" s="660"/>
      <c r="C7" s="419">
        <v>520</v>
      </c>
      <c r="D7" s="20"/>
      <c r="E7" s="419"/>
      <c r="F7" s="419"/>
      <c r="G7" s="20">
        <v>542</v>
      </c>
      <c r="H7" s="422">
        <f t="shared" si="0"/>
        <v>0.95940959409594095</v>
      </c>
      <c r="I7" s="67"/>
      <c r="J7" s="67"/>
    </row>
    <row r="8" spans="1:23" x14ac:dyDescent="0.3">
      <c r="A8" s="419" t="s">
        <v>240</v>
      </c>
      <c r="B8" s="660">
        <v>0.35</v>
      </c>
      <c r="C8" s="419">
        <v>520</v>
      </c>
      <c r="D8" s="660">
        <v>0.71</v>
      </c>
      <c r="E8" s="419"/>
      <c r="F8" s="419"/>
      <c r="G8" s="20">
        <v>428</v>
      </c>
      <c r="H8" s="422">
        <f t="shared" si="0"/>
        <v>1.2149532710280373</v>
      </c>
      <c r="I8" s="67"/>
      <c r="J8" s="67"/>
    </row>
    <row r="9" spans="1:23" x14ac:dyDescent="0.3">
      <c r="A9" s="419" t="s">
        <v>241</v>
      </c>
      <c r="B9" s="660">
        <v>0.31</v>
      </c>
      <c r="C9" s="419">
        <v>470</v>
      </c>
      <c r="D9" s="660">
        <v>0.88</v>
      </c>
      <c r="E9" s="419"/>
      <c r="F9" s="419"/>
      <c r="G9" s="20">
        <v>505</v>
      </c>
      <c r="H9" s="422">
        <f t="shared" si="0"/>
        <v>0.93069306930693074</v>
      </c>
      <c r="I9" s="67"/>
      <c r="J9" s="67"/>
    </row>
    <row r="10" spans="1:23" x14ac:dyDescent="0.3">
      <c r="A10" s="419" t="s">
        <v>242</v>
      </c>
      <c r="B10" s="660">
        <v>0.38</v>
      </c>
      <c r="C10" s="419">
        <v>370</v>
      </c>
      <c r="D10" s="660">
        <v>0.26</v>
      </c>
      <c r="E10" s="419"/>
      <c r="F10" s="419"/>
      <c r="G10" s="20">
        <v>148</v>
      </c>
      <c r="H10" s="422">
        <f t="shared" si="0"/>
        <v>2.5</v>
      </c>
      <c r="I10" s="67"/>
      <c r="J10" s="67"/>
    </row>
    <row r="11" spans="1:23" x14ac:dyDescent="0.3">
      <c r="A11" s="419" t="s">
        <v>243</v>
      </c>
      <c r="B11" s="660">
        <v>0.42</v>
      </c>
      <c r="C11" s="419">
        <v>540</v>
      </c>
      <c r="D11" s="660">
        <v>0.85</v>
      </c>
      <c r="E11" s="419"/>
      <c r="F11" s="419"/>
      <c r="G11" s="20">
        <v>716</v>
      </c>
      <c r="H11" s="422">
        <f t="shared" si="0"/>
        <v>0.75418994413407825</v>
      </c>
      <c r="I11" s="67"/>
      <c r="J11" s="67"/>
    </row>
    <row r="12" spans="1:23" x14ac:dyDescent="0.3">
      <c r="A12" s="419" t="s">
        <v>244</v>
      </c>
      <c r="B12" s="660">
        <v>0.56999999999999995</v>
      </c>
      <c r="C12" s="419">
        <v>170</v>
      </c>
      <c r="D12" s="660">
        <v>0.71</v>
      </c>
      <c r="E12" s="419"/>
      <c r="F12" s="419"/>
      <c r="G12" s="20">
        <v>112</v>
      </c>
      <c r="H12" s="422">
        <f t="shared" si="0"/>
        <v>1.5178571428571428</v>
      </c>
      <c r="I12" s="67"/>
      <c r="J12" s="67"/>
    </row>
    <row r="13" spans="1:23" x14ac:dyDescent="0.3">
      <c r="A13" s="419" t="s">
        <v>245</v>
      </c>
      <c r="B13" s="660">
        <v>0.72</v>
      </c>
      <c r="C13" s="419">
        <v>160</v>
      </c>
      <c r="D13" s="660">
        <v>0.46</v>
      </c>
      <c r="E13" s="419"/>
      <c r="F13" s="419"/>
      <c r="G13" s="20">
        <v>110</v>
      </c>
      <c r="H13" s="422">
        <f t="shared" si="0"/>
        <v>1.4545454545454546</v>
      </c>
      <c r="I13" s="67"/>
      <c r="J13" s="67"/>
    </row>
    <row r="14" spans="1:23" x14ac:dyDescent="0.3">
      <c r="A14" s="419" t="s">
        <v>246</v>
      </c>
      <c r="B14" s="660">
        <v>0.77</v>
      </c>
      <c r="C14" s="419">
        <v>2</v>
      </c>
      <c r="D14" s="660">
        <v>0.12</v>
      </c>
      <c r="E14" s="419"/>
      <c r="F14" s="419"/>
      <c r="G14" s="20">
        <v>28</v>
      </c>
      <c r="H14" s="422">
        <f t="shared" si="0"/>
        <v>7.1428571428571425E-2</v>
      </c>
      <c r="I14" s="67"/>
      <c r="J14" s="67"/>
    </row>
    <row r="15" spans="1:23" x14ac:dyDescent="0.3">
      <c r="A15" s="419" t="s">
        <v>305</v>
      </c>
      <c r="B15" s="660">
        <v>0.8</v>
      </c>
      <c r="C15" s="419">
        <v>200</v>
      </c>
      <c r="D15" s="660">
        <v>0.57999999999999996</v>
      </c>
      <c r="E15" s="419"/>
      <c r="F15" s="419"/>
      <c r="G15" s="20">
        <v>24</v>
      </c>
      <c r="H15" s="422">
        <f t="shared" si="0"/>
        <v>8.3333333333333339</v>
      </c>
      <c r="I15" s="67"/>
      <c r="J15" s="67"/>
    </row>
    <row r="16" spans="1:23" x14ac:dyDescent="0.3">
      <c r="A16" s="419" t="s">
        <v>640</v>
      </c>
      <c r="B16" s="660">
        <v>0.72</v>
      </c>
      <c r="C16" s="419">
        <v>200</v>
      </c>
      <c r="D16" s="660">
        <v>0.73</v>
      </c>
      <c r="E16" s="419"/>
      <c r="F16" s="419"/>
      <c r="G16" s="20">
        <v>157</v>
      </c>
      <c r="H16" s="422">
        <f t="shared" si="0"/>
        <v>1.2738853503184713</v>
      </c>
      <c r="I16" s="67"/>
      <c r="J16" s="67"/>
    </row>
    <row r="17" spans="1:14" x14ac:dyDescent="0.3">
      <c r="A17" s="419" t="s">
        <v>247</v>
      </c>
      <c r="B17" s="660">
        <v>0.65</v>
      </c>
      <c r="C17" s="419">
        <v>70</v>
      </c>
      <c r="D17" s="660">
        <v>0.4</v>
      </c>
      <c r="E17" s="419"/>
      <c r="F17" s="419"/>
      <c r="G17" s="20">
        <v>137</v>
      </c>
      <c r="H17" s="422">
        <f t="shared" si="0"/>
        <v>0.51094890510948909</v>
      </c>
      <c r="I17" s="67"/>
      <c r="J17" s="67"/>
    </row>
    <row r="18" spans="1:14" x14ac:dyDescent="0.3">
      <c r="A18" s="419" t="s">
        <v>248</v>
      </c>
      <c r="B18" s="660">
        <v>0.47</v>
      </c>
      <c r="C18" s="419">
        <v>400</v>
      </c>
      <c r="D18" s="660">
        <v>1</v>
      </c>
      <c r="E18" s="419"/>
      <c r="F18" s="419"/>
      <c r="G18" s="20">
        <v>60</v>
      </c>
      <c r="H18" s="422">
        <f t="shared" si="0"/>
        <v>6.666666666666667</v>
      </c>
      <c r="I18" s="67"/>
      <c r="J18" s="67"/>
    </row>
    <row r="19" spans="1:14" x14ac:dyDescent="0.3">
      <c r="A19" s="419" t="s">
        <v>249</v>
      </c>
      <c r="B19" s="660">
        <v>0.65</v>
      </c>
      <c r="C19" s="419">
        <v>70</v>
      </c>
      <c r="D19" s="660">
        <v>0.47</v>
      </c>
      <c r="E19" s="419"/>
      <c r="F19" s="419"/>
      <c r="G19" s="20">
        <v>55</v>
      </c>
      <c r="H19" s="422">
        <f t="shared" si="0"/>
        <v>1.2727272727272727</v>
      </c>
      <c r="I19" s="67"/>
      <c r="J19" s="67"/>
    </row>
    <row r="20" spans="1:14" x14ac:dyDescent="0.3">
      <c r="A20" s="419" t="s">
        <v>250</v>
      </c>
      <c r="B20" s="660">
        <v>0.47</v>
      </c>
      <c r="C20" s="419">
        <v>30</v>
      </c>
      <c r="D20" s="660">
        <v>0.77</v>
      </c>
      <c r="E20" s="419"/>
      <c r="F20" s="419"/>
      <c r="G20" s="20">
        <v>74</v>
      </c>
      <c r="H20" s="422">
        <f t="shared" si="0"/>
        <v>0.40540540540540543</v>
      </c>
      <c r="I20" s="67"/>
      <c r="J20" s="67"/>
    </row>
    <row r="21" spans="1:14" x14ac:dyDescent="0.3">
      <c r="A21" s="419" t="s">
        <v>251</v>
      </c>
      <c r="B21" s="660">
        <v>0.49</v>
      </c>
      <c r="C21" s="419">
        <v>80</v>
      </c>
      <c r="D21" s="660">
        <v>0.75</v>
      </c>
      <c r="E21" s="419"/>
      <c r="F21" s="419"/>
      <c r="G21" s="20">
        <v>229</v>
      </c>
      <c r="H21" s="422">
        <f t="shared" si="0"/>
        <v>0.34934497816593885</v>
      </c>
      <c r="I21" s="67"/>
      <c r="J21" s="67"/>
    </row>
    <row r="22" spans="1:14" x14ac:dyDescent="0.3">
      <c r="A22" s="419" t="s">
        <v>252</v>
      </c>
      <c r="B22" s="660">
        <v>0.46</v>
      </c>
      <c r="C22" s="419">
        <v>20</v>
      </c>
      <c r="D22" s="660">
        <v>0.82</v>
      </c>
      <c r="E22" s="419"/>
      <c r="F22" s="419"/>
      <c r="G22" s="20">
        <v>47</v>
      </c>
      <c r="H22" s="422">
        <f t="shared" si="0"/>
        <v>0.42553191489361702</v>
      </c>
      <c r="I22" s="67"/>
      <c r="J22" s="67"/>
    </row>
    <row r="23" spans="1:14" x14ac:dyDescent="0.3">
      <c r="A23" s="419" t="s">
        <v>253</v>
      </c>
      <c r="B23" s="660">
        <v>0.47</v>
      </c>
      <c r="C23" s="419">
        <v>20</v>
      </c>
      <c r="D23" s="660">
        <v>0.75</v>
      </c>
      <c r="E23" s="419"/>
      <c r="F23" s="419"/>
      <c r="G23" s="20">
        <v>71</v>
      </c>
      <c r="H23" s="422">
        <f t="shared" si="0"/>
        <v>0.28169014084507044</v>
      </c>
      <c r="I23" s="67"/>
      <c r="J23" s="67"/>
    </row>
    <row r="26" spans="1:14" x14ac:dyDescent="0.3">
      <c r="A26" s="9" t="s">
        <v>254</v>
      </c>
      <c r="B26" s="5"/>
      <c r="C26" s="5"/>
      <c r="D26" s="5"/>
      <c r="E26" s="5"/>
      <c r="F26" s="5"/>
      <c r="G26" s="5"/>
      <c r="H26" s="5"/>
      <c r="I26" s="5"/>
      <c r="J26" s="5"/>
      <c r="K26" s="5"/>
    </row>
    <row r="27" spans="1:14" x14ac:dyDescent="0.3">
      <c r="A27" s="661" t="s">
        <v>1023</v>
      </c>
      <c r="B27" s="5"/>
      <c r="C27" s="5"/>
      <c r="D27" s="5"/>
      <c r="E27" s="5"/>
      <c r="F27" s="5"/>
      <c r="G27" s="5"/>
      <c r="H27" s="5"/>
      <c r="I27" s="5"/>
      <c r="J27" s="5"/>
      <c r="K27" s="5"/>
    </row>
    <row r="29" spans="1:14" x14ac:dyDescent="0.3">
      <c r="A29" s="9" t="s">
        <v>778</v>
      </c>
    </row>
    <row r="31" spans="1:14" x14ac:dyDescent="0.3">
      <c r="A31" s="661" t="s">
        <v>1024</v>
      </c>
      <c r="B31" s="5"/>
      <c r="C31" s="5"/>
      <c r="D31" s="5"/>
      <c r="E31" s="5"/>
      <c r="F31" s="5"/>
      <c r="G31" s="5"/>
      <c r="H31" s="5"/>
      <c r="I31" s="5"/>
      <c r="J31" s="5"/>
      <c r="K31" s="5"/>
      <c r="L31" s="5"/>
      <c r="M31" s="5"/>
      <c r="N31" s="5"/>
    </row>
    <row r="32" spans="1:14" x14ac:dyDescent="0.3">
      <c r="A32" s="9" t="s">
        <v>1025</v>
      </c>
      <c r="B32" s="5"/>
      <c r="C32" s="5"/>
      <c r="D32" s="5"/>
      <c r="E32" s="5"/>
      <c r="F32" s="5"/>
      <c r="G32" s="5"/>
      <c r="H32" s="5"/>
      <c r="I32" s="5"/>
      <c r="J32" s="5"/>
      <c r="K32" s="5"/>
      <c r="L32" s="5"/>
      <c r="M32" s="5"/>
      <c r="N32" s="5"/>
    </row>
    <row r="33" spans="1:14" x14ac:dyDescent="0.3">
      <c r="B33" s="5"/>
      <c r="C33" s="5"/>
      <c r="D33" s="5"/>
      <c r="E33" s="5"/>
      <c r="F33" s="5"/>
      <c r="G33" s="5"/>
      <c r="H33" s="5"/>
      <c r="I33" s="5"/>
      <c r="J33" s="5"/>
      <c r="K33" s="5"/>
      <c r="L33" s="5"/>
      <c r="M33" s="5"/>
      <c r="N33" s="5"/>
    </row>
    <row r="34" spans="1:14" x14ac:dyDescent="0.3">
      <c r="A34" s="661" t="s">
        <v>1026</v>
      </c>
      <c r="B34" s="5"/>
      <c r="C34" s="5"/>
      <c r="D34" s="5"/>
      <c r="E34" s="5"/>
      <c r="F34" s="5"/>
      <c r="G34" s="5"/>
      <c r="H34" s="5"/>
      <c r="I34" s="5"/>
      <c r="J34" s="5"/>
      <c r="K34" s="5"/>
      <c r="L34" s="5"/>
      <c r="M34" s="5"/>
      <c r="N34" s="5"/>
    </row>
    <row r="35" spans="1:14" x14ac:dyDescent="0.3">
      <c r="B35" s="5"/>
      <c r="C35" s="5"/>
      <c r="D35" s="5"/>
      <c r="E35" s="5"/>
      <c r="F35" s="5"/>
      <c r="G35" s="5"/>
      <c r="H35" s="5"/>
      <c r="I35" s="5"/>
      <c r="J35" s="5"/>
      <c r="K35" s="5"/>
      <c r="L35" s="5"/>
      <c r="M35" s="5"/>
      <c r="N35" s="5"/>
    </row>
    <row r="36" spans="1:14" x14ac:dyDescent="0.3">
      <c r="B36" s="5"/>
      <c r="C36" s="5"/>
      <c r="D36" s="5"/>
      <c r="E36" s="5"/>
      <c r="F36" s="5"/>
      <c r="G36" s="5"/>
      <c r="H36" s="5"/>
      <c r="I36" s="5"/>
      <c r="J36" s="5"/>
      <c r="K36" s="5"/>
      <c r="L36" s="5"/>
      <c r="M36" s="5"/>
      <c r="N36" s="5"/>
    </row>
    <row r="37" spans="1:14" x14ac:dyDescent="0.3">
      <c r="B37" s="5"/>
      <c r="C37" s="5"/>
      <c r="D37" s="5"/>
      <c r="E37" s="5"/>
      <c r="F37" s="5"/>
      <c r="G37" s="5"/>
      <c r="H37" s="5"/>
      <c r="I37" s="5"/>
      <c r="J37" s="5"/>
      <c r="K37" s="5"/>
      <c r="L37" s="5"/>
      <c r="M37" s="5"/>
      <c r="N37" s="5"/>
    </row>
    <row r="38" spans="1:14" x14ac:dyDescent="0.3">
      <c r="A38" s="9" t="s">
        <v>779</v>
      </c>
      <c r="B38" s="5"/>
      <c r="C38" s="5"/>
      <c r="D38" s="5"/>
      <c r="E38" s="5"/>
      <c r="F38" s="5"/>
      <c r="G38" s="5"/>
      <c r="H38" s="5"/>
      <c r="I38" s="5"/>
      <c r="J38" s="5"/>
      <c r="K38" s="5"/>
      <c r="L38" s="5"/>
      <c r="M38" s="5"/>
      <c r="N38" s="5"/>
    </row>
    <row r="39" spans="1:14" x14ac:dyDescent="0.3">
      <c r="A39" s="5"/>
      <c r="B39" s="5"/>
      <c r="C39" s="5"/>
      <c r="D39" s="5"/>
      <c r="E39" s="5"/>
      <c r="F39" s="5"/>
      <c r="G39" s="5"/>
      <c r="H39" s="5"/>
      <c r="I39" s="5"/>
      <c r="J39" s="5"/>
      <c r="K39" s="5"/>
      <c r="L39" s="5"/>
      <c r="M39" s="5"/>
      <c r="N39" s="5"/>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00000"/>
  </sheetPr>
  <dimension ref="A1:S27"/>
  <sheetViews>
    <sheetView workbookViewId="0">
      <pane ySplit="2" topLeftCell="A3" activePane="bottomLeft" state="frozen"/>
      <selection pane="bottomLeft" activeCell="A32" sqref="A32"/>
    </sheetView>
  </sheetViews>
  <sheetFormatPr defaultColWidth="9.109375" defaultRowHeight="14.4" x14ac:dyDescent="0.3"/>
  <cols>
    <col min="1" max="1" width="57.88671875" style="9" bestFit="1" customWidth="1"/>
    <col min="2" max="2" width="7.109375" style="9" bestFit="1" customWidth="1"/>
    <col min="3" max="3" width="77" style="9" customWidth="1"/>
    <col min="4" max="11" width="9.109375" style="9"/>
    <col min="12" max="12" width="24.6640625" style="9" customWidth="1"/>
    <col min="13" max="13" width="19.5546875" style="9" bestFit="1" customWidth="1"/>
    <col min="14" max="17" width="9.109375" style="9"/>
    <col min="18" max="18" width="60.109375" style="9" customWidth="1"/>
    <col min="19" max="19" width="51" style="9" customWidth="1"/>
    <col min="20" max="16384" width="9.109375" style="9"/>
  </cols>
  <sheetData>
    <row r="1" spans="1:19" x14ac:dyDescent="0.3">
      <c r="A1" s="9" t="s">
        <v>780</v>
      </c>
    </row>
    <row r="2" spans="1:19" x14ac:dyDescent="0.3">
      <c r="A2" s="69" t="str">
        <f>IF(Language=English,L2,M2)</f>
        <v>Parameter</v>
      </c>
      <c r="B2" s="69" t="str">
        <f>IF(Language=English,O2,P2)</f>
        <v>Value</v>
      </c>
      <c r="C2" s="69" t="str">
        <f>IF(Language=English,R2,S2)</f>
        <v>Definition/Source</v>
      </c>
      <c r="L2" s="69" t="s">
        <v>220</v>
      </c>
      <c r="M2" s="69" t="s">
        <v>221</v>
      </c>
      <c r="O2" s="69" t="s">
        <v>255</v>
      </c>
      <c r="P2" s="69" t="s">
        <v>256</v>
      </c>
      <c r="R2" s="69" t="s">
        <v>257</v>
      </c>
      <c r="S2" s="69" t="s">
        <v>258</v>
      </c>
    </row>
    <row r="3" spans="1:19" ht="30" customHeight="1" x14ac:dyDescent="0.3">
      <c r="A3" s="423" t="str">
        <f>IF(Language=English,L3,M3)</f>
        <v>Pregnancy rate</v>
      </c>
      <c r="B3" s="424">
        <v>0.41</v>
      </c>
      <c r="C3" s="425" t="str">
        <f>IF(Language=English,R3,S3)</f>
        <v>Proportion of women using contraception who would become pregnant within one year if they no longer used contraception</v>
      </c>
      <c r="D3" s="5"/>
      <c r="E3" s="5"/>
      <c r="L3" s="1" t="s">
        <v>259</v>
      </c>
      <c r="M3" s="9" t="s">
        <v>260</v>
      </c>
      <c r="R3" s="13" t="s">
        <v>261</v>
      </c>
      <c r="S3" s="13" t="s">
        <v>262</v>
      </c>
    </row>
    <row r="4" spans="1:19" ht="28.8" x14ac:dyDescent="0.3">
      <c r="C4" s="13" t="str">
        <f>IF(Language=English,R4,S4)</f>
        <v>Source: Guttmacher Institute calculations based on DHS reports of unintended pregnancies, updated 2018</v>
      </c>
      <c r="R4" s="13" t="s">
        <v>743</v>
      </c>
      <c r="S4" s="13" t="s">
        <v>744</v>
      </c>
    </row>
    <row r="5" spans="1:19" x14ac:dyDescent="0.3">
      <c r="C5" s="13"/>
      <c r="R5" s="13"/>
      <c r="S5" s="13"/>
    </row>
    <row r="6" spans="1:19" x14ac:dyDescent="0.3">
      <c r="A6" s="9" t="str">
        <f>IF(Language=English,L6,M6)</f>
        <v>Miscarriage/still birth rate</v>
      </c>
      <c r="B6" s="66">
        <v>0.13</v>
      </c>
      <c r="C6" s="13" t="str">
        <f>IF(Language=English,R6,S6)</f>
        <v>Percentage of pregnancies ending in miscarriage or still birth</v>
      </c>
      <c r="L6" s="9" t="s">
        <v>263</v>
      </c>
      <c r="M6" s="9" t="s">
        <v>264</v>
      </c>
      <c r="R6" s="13" t="s">
        <v>265</v>
      </c>
      <c r="S6" s="13" t="s">
        <v>266</v>
      </c>
    </row>
    <row r="7" spans="1:19" x14ac:dyDescent="0.3">
      <c r="B7" s="66"/>
      <c r="C7" s="13" t="str">
        <f>IF(Language=English,R7,S7)</f>
        <v>Bongaarts and Potter, 1983</v>
      </c>
      <c r="R7" s="13" t="s">
        <v>267</v>
      </c>
      <c r="S7" s="13" t="s">
        <v>268</v>
      </c>
    </row>
    <row r="9" spans="1:19" ht="43.2" x14ac:dyDescent="0.3">
      <c r="A9" s="1" t="str">
        <f>IF(Language=English,L9,M9)</f>
        <v>Method failure rates</v>
      </c>
      <c r="C9" s="13" t="str">
        <f>IF(Language=English,R9,S9)</f>
        <v>Proportion of women using a method who will become pregnant in a year due to failure of the method</v>
      </c>
      <c r="L9" s="1" t="s">
        <v>269</v>
      </c>
      <c r="M9" s="1" t="s">
        <v>270</v>
      </c>
      <c r="R9" s="13" t="s">
        <v>271</v>
      </c>
      <c r="S9" s="13" t="s">
        <v>272</v>
      </c>
    </row>
    <row r="10" spans="1:19" x14ac:dyDescent="0.3">
      <c r="A10" s="7" t="s">
        <v>0</v>
      </c>
      <c r="B10" s="68">
        <v>5.0000000000000001E-3</v>
      </c>
      <c r="C10" s="13" t="s">
        <v>273</v>
      </c>
    </row>
    <row r="11" spans="1:19" x14ac:dyDescent="0.3">
      <c r="A11" s="7" t="s">
        <v>1</v>
      </c>
      <c r="B11" s="68">
        <v>1.5E-3</v>
      </c>
      <c r="C11" s="13" t="s">
        <v>273</v>
      </c>
    </row>
    <row r="12" spans="1:19" x14ac:dyDescent="0.3">
      <c r="A12" s="7" t="s">
        <v>2</v>
      </c>
      <c r="B12" s="68">
        <v>6.3E-2</v>
      </c>
      <c r="C12" s="13" t="s">
        <v>867</v>
      </c>
    </row>
    <row r="13" spans="1:19" x14ac:dyDescent="0.3">
      <c r="A13" s="7" t="s">
        <v>3</v>
      </c>
      <c r="B13" s="68">
        <v>1.2E-2</v>
      </c>
      <c r="C13" s="13" t="s">
        <v>867</v>
      </c>
    </row>
    <row r="14" spans="1:19" x14ac:dyDescent="0.3">
      <c r="A14" s="7" t="s">
        <v>4</v>
      </c>
      <c r="B14" s="68">
        <v>0.02</v>
      </c>
      <c r="C14" s="13" t="s">
        <v>867</v>
      </c>
    </row>
    <row r="15" spans="1:19" x14ac:dyDescent="0.3">
      <c r="A15" s="7" t="s">
        <v>5</v>
      </c>
      <c r="B15" s="68">
        <v>3.0000000000000001E-3</v>
      </c>
      <c r="C15" s="13" t="s">
        <v>867</v>
      </c>
    </row>
    <row r="16" spans="1:19" x14ac:dyDescent="0.3">
      <c r="A16" s="7" t="s">
        <v>500</v>
      </c>
      <c r="B16" s="68">
        <v>8.5999999999999993E-2</v>
      </c>
      <c r="C16" s="13" t="s">
        <v>867</v>
      </c>
    </row>
    <row r="17" spans="1:3" x14ac:dyDescent="0.3">
      <c r="A17" s="399" t="s">
        <v>437</v>
      </c>
      <c r="B17" s="70">
        <v>0.24</v>
      </c>
      <c r="C17" s="13" t="s">
        <v>273</v>
      </c>
    </row>
    <row r="18" spans="1:3" x14ac:dyDescent="0.3">
      <c r="B18" s="65"/>
    </row>
    <row r="19" spans="1:3" x14ac:dyDescent="0.3">
      <c r="A19" s="1" t="s">
        <v>274</v>
      </c>
      <c r="B19" s="65"/>
    </row>
    <row r="20" spans="1:3" x14ac:dyDescent="0.3">
      <c r="A20" s="9" t="s">
        <v>275</v>
      </c>
      <c r="B20" s="65"/>
    </row>
    <row r="22" spans="1:3" x14ac:dyDescent="0.3">
      <c r="A22" s="9" t="s">
        <v>279</v>
      </c>
    </row>
    <row r="23" spans="1:3" x14ac:dyDescent="0.3">
      <c r="A23" s="9" t="s">
        <v>868</v>
      </c>
    </row>
    <row r="25" spans="1:3" x14ac:dyDescent="0.3">
      <c r="A25" s="9" t="s">
        <v>276</v>
      </c>
    </row>
    <row r="26" spans="1:3" x14ac:dyDescent="0.3">
      <c r="A26" s="9" t="s">
        <v>277</v>
      </c>
    </row>
    <row r="27" spans="1:3" x14ac:dyDescent="0.3">
      <c r="A27" s="9" t="s">
        <v>278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theme="9"/>
  </sheetPr>
  <dimension ref="A1:BI109"/>
  <sheetViews>
    <sheetView zoomScale="80" zoomScaleNormal="80" workbookViewId="0">
      <pane xSplit="2" ySplit="3" topLeftCell="I4" activePane="bottomRight" state="frozen"/>
      <selection pane="topRight" activeCell="C1" sqref="C1"/>
      <selection pane="bottomLeft" activeCell="A4" sqref="A4"/>
      <selection pane="bottomRight" activeCell="W19" sqref="W19"/>
    </sheetView>
  </sheetViews>
  <sheetFormatPr defaultRowHeight="14.4" x14ac:dyDescent="0.3"/>
  <cols>
    <col min="1" max="1" width="9.109375" style="9"/>
    <col min="2" max="2" width="16.109375" style="282" customWidth="1"/>
    <col min="3" max="3" width="15.33203125" style="314" customWidth="1"/>
    <col min="4" max="4" width="17.88671875" style="314" customWidth="1"/>
    <col min="5" max="6" width="21.109375" style="283" customWidth="1"/>
    <col min="7" max="8" width="11.44140625" style="283" customWidth="1"/>
    <col min="9" max="9" width="7.88671875" style="283" customWidth="1"/>
    <col min="10" max="10" width="12.33203125" style="285" customWidth="1"/>
    <col min="11" max="11" width="6.6640625" style="283" customWidth="1"/>
    <col min="12" max="12" width="10" style="285" customWidth="1"/>
    <col min="13" max="13" width="11.33203125" style="283" customWidth="1"/>
    <col min="14" max="14" width="11.33203125" style="285" customWidth="1"/>
    <col min="15" max="15" width="10.33203125" style="285" customWidth="1"/>
    <col min="16" max="17" width="12.33203125" style="283" customWidth="1"/>
    <col min="18" max="18" width="3.109375" customWidth="1"/>
    <col min="19" max="19" width="10.33203125" style="285" customWidth="1"/>
    <col min="20" max="20" width="11.44140625" style="285" customWidth="1"/>
    <col min="21" max="21" width="9.6640625" style="283" customWidth="1"/>
    <col min="22" max="22" width="12.33203125" style="283" customWidth="1"/>
    <col min="23" max="23" width="10.44140625" style="285" customWidth="1"/>
    <col min="24" max="24" width="10.44140625" style="285" hidden="1" customWidth="1"/>
    <col min="25" max="25" width="13.5546875" style="285" hidden="1" customWidth="1"/>
    <col min="26" max="26" width="13" style="283" hidden="1" customWidth="1"/>
    <col min="27" max="27" width="13.109375" style="285" hidden="1" customWidth="1"/>
    <col min="28" max="29" width="12.33203125" style="283" hidden="1" customWidth="1"/>
    <col min="30" max="30" width="8.88671875" style="307" hidden="1" customWidth="1"/>
    <col min="31" max="31" width="10" style="288" hidden="1" customWidth="1"/>
    <col min="32" max="32" width="8" style="308" customWidth="1"/>
    <col min="33" max="33" width="7.6640625" customWidth="1"/>
    <col min="34" max="34" width="13.5546875" customWidth="1"/>
    <col min="35" max="35" width="18.88671875" bestFit="1" customWidth="1"/>
    <col min="36" max="37" width="7.33203125" customWidth="1"/>
    <col min="38" max="47" width="9.109375" customWidth="1"/>
    <col min="48" max="59" width="9.109375" hidden="1" customWidth="1"/>
    <col min="60" max="61" width="11" hidden="1" customWidth="1"/>
    <col min="62" max="64" width="0" hidden="1" customWidth="1"/>
  </cols>
  <sheetData>
    <row r="1" spans="1:37" ht="15.6" x14ac:dyDescent="0.3">
      <c r="C1" s="314" t="s">
        <v>147</v>
      </c>
      <c r="D1" s="314" t="s">
        <v>98</v>
      </c>
      <c r="E1" s="314" t="s">
        <v>147</v>
      </c>
      <c r="K1" s="284" t="s">
        <v>648</v>
      </c>
      <c r="AD1" s="286"/>
      <c r="AE1" s="287"/>
      <c r="AF1" s="287"/>
    </row>
    <row r="2" spans="1:37" x14ac:dyDescent="0.3">
      <c r="C2" s="314" t="s">
        <v>146</v>
      </c>
      <c r="D2" s="314" t="s">
        <v>123</v>
      </c>
      <c r="E2" s="314" t="s">
        <v>146</v>
      </c>
      <c r="K2" s="9"/>
      <c r="P2" s="747">
        <f>SUM(P4:P75)</f>
        <v>3.2</v>
      </c>
      <c r="Q2" s="747"/>
      <c r="S2" s="747">
        <f>SUM(S4:S75)</f>
        <v>1.4768357000000003</v>
      </c>
      <c r="T2" s="747">
        <f>SUM(T4:T75)</f>
        <v>1.5771165000000005</v>
      </c>
      <c r="U2" s="747">
        <f>SUM(U4:U75)</f>
        <v>0.13971920000000002</v>
      </c>
      <c r="V2" s="747">
        <f>SUM(V4:V75)</f>
        <v>1.0616884000000002</v>
      </c>
      <c r="W2" s="747">
        <f>SUM(W4:W75)</f>
        <v>6.0299999999999994</v>
      </c>
      <c r="AD2" s="286"/>
      <c r="AE2" s="287"/>
      <c r="AF2" s="287"/>
    </row>
    <row r="3" spans="1:37" ht="60" customHeight="1" x14ac:dyDescent="0.3">
      <c r="A3" s="9" t="s">
        <v>712</v>
      </c>
      <c r="B3" s="350" t="s">
        <v>29</v>
      </c>
      <c r="C3" s="351" t="s">
        <v>649</v>
      </c>
      <c r="D3" s="351"/>
      <c r="E3" s="352" t="s">
        <v>650</v>
      </c>
      <c r="F3" s="352" t="s">
        <v>10</v>
      </c>
      <c r="G3" s="292" t="s">
        <v>646</v>
      </c>
      <c r="H3" s="292" t="s">
        <v>647</v>
      </c>
      <c r="I3" s="292" t="s">
        <v>3</v>
      </c>
      <c r="J3" s="292" t="s">
        <v>5</v>
      </c>
      <c r="K3" s="291" t="s">
        <v>4</v>
      </c>
      <c r="L3" s="291" t="s">
        <v>2</v>
      </c>
      <c r="M3" s="291" t="s">
        <v>651</v>
      </c>
      <c r="N3" s="291" t="s">
        <v>652</v>
      </c>
      <c r="O3" s="291" t="s">
        <v>11</v>
      </c>
      <c r="P3" s="749" t="s">
        <v>96</v>
      </c>
      <c r="Q3" s="352" t="s">
        <v>656</v>
      </c>
      <c r="S3" s="352" t="s">
        <v>97</v>
      </c>
      <c r="T3" s="352" t="s">
        <v>653</v>
      </c>
      <c r="U3" s="352" t="s">
        <v>654</v>
      </c>
      <c r="V3" s="748" t="s">
        <v>655</v>
      </c>
      <c r="W3" s="352" t="s">
        <v>656</v>
      </c>
      <c r="X3" s="293"/>
      <c r="Y3" s="293"/>
      <c r="Z3" s="293"/>
      <c r="AA3" s="293"/>
      <c r="AB3" s="293"/>
      <c r="AC3" s="293"/>
      <c r="AD3" s="294"/>
      <c r="AE3" s="295"/>
      <c r="AF3" s="296" t="s">
        <v>657</v>
      </c>
    </row>
    <row r="4" spans="1:37" x14ac:dyDescent="0.3">
      <c r="B4" s="282" t="s">
        <v>54</v>
      </c>
      <c r="C4" s="297" t="s">
        <v>718</v>
      </c>
      <c r="D4" s="314" t="str">
        <f>VLOOKUP(C4, $D$1:$E$2, 2, FALSE)</f>
        <v>Femmes mariées</v>
      </c>
      <c r="E4" s="297" t="s">
        <v>759</v>
      </c>
      <c r="F4" s="297">
        <v>2015</v>
      </c>
      <c r="G4" s="297">
        <v>1.8</v>
      </c>
      <c r="H4" s="297">
        <v>0</v>
      </c>
      <c r="I4" s="297">
        <v>1.4</v>
      </c>
      <c r="J4" s="297">
        <v>0.2</v>
      </c>
      <c r="K4" s="297">
        <v>4.9000000000000004</v>
      </c>
      <c r="L4" s="297">
        <v>6.8</v>
      </c>
      <c r="M4" s="297">
        <v>3.3</v>
      </c>
      <c r="N4" s="297">
        <v>0</v>
      </c>
      <c r="O4" s="297">
        <v>1.3</v>
      </c>
      <c r="P4" s="297">
        <v>0</v>
      </c>
      <c r="Q4" s="297">
        <f>SUM(S4:W4)</f>
        <v>0</v>
      </c>
      <c r="S4" s="297">
        <v>0</v>
      </c>
      <c r="T4" s="297">
        <v>0</v>
      </c>
      <c r="U4" s="297">
        <v>0</v>
      </c>
      <c r="V4" s="297">
        <v>0</v>
      </c>
      <c r="W4" s="297">
        <v>0</v>
      </c>
      <c r="X4" s="299"/>
      <c r="Y4" s="298"/>
      <c r="Z4" s="297"/>
      <c r="AA4" s="299"/>
      <c r="AB4" s="297"/>
      <c r="AC4" s="297"/>
      <c r="AD4" s="301"/>
      <c r="AE4" s="289"/>
      <c r="AF4" s="302">
        <f>SUM(G4:Q4)</f>
        <v>19.700000000000003</v>
      </c>
    </row>
    <row r="5" spans="1:37" s="565" customFormat="1" x14ac:dyDescent="0.3">
      <c r="A5" s="559">
        <v>43922</v>
      </c>
      <c r="B5" s="560" t="s">
        <v>291</v>
      </c>
      <c r="C5" s="561" t="s">
        <v>719</v>
      </c>
      <c r="D5" s="562" t="str">
        <f t="shared" ref="D5:D68" si="0">VLOOKUP(C5, $D$1:$E$2, 2, FALSE)</f>
        <v>Toutes les femmes</v>
      </c>
      <c r="E5" s="561" t="s">
        <v>634</v>
      </c>
      <c r="F5" s="561">
        <v>2015.5</v>
      </c>
      <c r="G5" s="561">
        <v>0.1</v>
      </c>
      <c r="H5" s="561">
        <v>0</v>
      </c>
      <c r="I5" s="561">
        <v>0.2</v>
      </c>
      <c r="J5" s="561">
        <v>0.7</v>
      </c>
      <c r="K5" s="561">
        <v>4.7</v>
      </c>
      <c r="L5" s="561">
        <v>3.5</v>
      </c>
      <c r="M5" s="561">
        <v>3.1</v>
      </c>
      <c r="N5" s="561">
        <v>0</v>
      </c>
      <c r="O5" s="561">
        <v>0.1</v>
      </c>
      <c r="P5" s="561">
        <v>0</v>
      </c>
      <c r="Q5" s="561">
        <f t="shared" ref="Q5:Q68" si="1">SUM(S5:W5)</f>
        <v>0.2</v>
      </c>
      <c r="R5"/>
      <c r="S5" s="561"/>
      <c r="T5" s="561">
        <v>0</v>
      </c>
      <c r="U5" s="561">
        <v>0</v>
      </c>
      <c r="V5" s="561">
        <v>0</v>
      </c>
      <c r="W5" s="561">
        <v>0.2</v>
      </c>
      <c r="X5" s="561"/>
      <c r="Y5" s="561"/>
      <c r="Z5" s="561"/>
      <c r="AA5" s="561"/>
      <c r="AB5" s="561"/>
      <c r="AC5" s="561"/>
      <c r="AD5" s="561"/>
      <c r="AE5" s="561"/>
      <c r="AF5" s="561">
        <f>SUM(G5:Q5)</f>
        <v>12.599999999999998</v>
      </c>
      <c r="AH5"/>
      <c r="AI5"/>
      <c r="AJ5"/>
      <c r="AK5"/>
    </row>
    <row r="6" spans="1:37" s="565" customFormat="1" x14ac:dyDescent="0.3">
      <c r="A6" s="559">
        <v>43922</v>
      </c>
      <c r="B6" s="560" t="s">
        <v>30</v>
      </c>
      <c r="C6" s="561" t="s">
        <v>718</v>
      </c>
      <c r="D6" s="562" t="str">
        <f t="shared" si="0"/>
        <v>Femmes mariées</v>
      </c>
      <c r="E6" s="561" t="s">
        <v>883</v>
      </c>
      <c r="F6" s="561">
        <v>2019</v>
      </c>
      <c r="G6" s="561">
        <v>4.8</v>
      </c>
      <c r="H6" s="561">
        <v>1.1000000000000001</v>
      </c>
      <c r="I6" s="561">
        <v>0.6</v>
      </c>
      <c r="J6" s="561">
        <v>2.1</v>
      </c>
      <c r="K6" s="561">
        <v>10.7</v>
      </c>
      <c r="L6" s="561">
        <v>25.4</v>
      </c>
      <c r="M6" s="561">
        <v>7.2</v>
      </c>
      <c r="N6" s="561"/>
      <c r="O6" s="561">
        <v>0</v>
      </c>
      <c r="P6" s="561">
        <v>0</v>
      </c>
      <c r="Q6" s="561">
        <f t="shared" si="1"/>
        <v>0</v>
      </c>
      <c r="R6"/>
      <c r="S6" s="561"/>
      <c r="T6" s="561"/>
      <c r="U6" s="561"/>
      <c r="V6" s="561">
        <v>0</v>
      </c>
      <c r="W6" s="561"/>
      <c r="X6" s="563"/>
      <c r="Y6" s="563"/>
      <c r="Z6" s="563"/>
      <c r="AA6" s="563"/>
      <c r="AB6" s="563"/>
      <c r="AC6" s="563"/>
      <c r="AD6" s="563"/>
      <c r="AE6" s="564"/>
      <c r="AF6" s="561">
        <f t="shared" ref="AF6:AF68" si="2">SUM(G6:Q6)</f>
        <v>51.9</v>
      </c>
      <c r="AH6"/>
      <c r="AI6"/>
      <c r="AJ6"/>
      <c r="AK6"/>
    </row>
    <row r="7" spans="1:37" s="9" customFormat="1" x14ac:dyDescent="0.3">
      <c r="A7" s="559">
        <v>43922</v>
      </c>
      <c r="B7" s="560" t="s">
        <v>55</v>
      </c>
      <c r="C7" s="561" t="s">
        <v>719</v>
      </c>
      <c r="D7" s="562" t="str">
        <f t="shared" si="0"/>
        <v>Toutes les femmes</v>
      </c>
      <c r="E7" s="561" t="s">
        <v>882</v>
      </c>
      <c r="F7" s="561">
        <v>2017.5</v>
      </c>
      <c r="G7" s="561">
        <v>0.2</v>
      </c>
      <c r="H7" s="561">
        <v>0</v>
      </c>
      <c r="I7" s="561">
        <v>1.6</v>
      </c>
      <c r="J7" s="561">
        <v>5.4</v>
      </c>
      <c r="K7" s="561">
        <v>2.2000000000000002</v>
      </c>
      <c r="L7" s="561">
        <v>1.6</v>
      </c>
      <c r="M7" s="561">
        <v>0.9</v>
      </c>
      <c r="N7" s="561">
        <v>0</v>
      </c>
      <c r="O7" s="561">
        <v>0.1</v>
      </c>
      <c r="P7" s="561">
        <v>0.4</v>
      </c>
      <c r="Q7" s="561">
        <f t="shared" si="1"/>
        <v>0</v>
      </c>
      <c r="R7"/>
      <c r="S7" s="561"/>
      <c r="T7" s="561"/>
      <c r="U7" s="561"/>
      <c r="V7" s="561"/>
      <c r="W7" s="561"/>
      <c r="X7" s="299"/>
      <c r="Y7" s="299"/>
      <c r="Z7" s="299"/>
      <c r="AA7" s="299"/>
      <c r="AB7" s="299"/>
      <c r="AC7" s="299"/>
      <c r="AD7" s="301"/>
      <c r="AE7" s="303"/>
      <c r="AF7" s="302">
        <f t="shared" si="2"/>
        <v>12.4</v>
      </c>
      <c r="AH7"/>
      <c r="AI7"/>
      <c r="AJ7"/>
      <c r="AK7"/>
    </row>
    <row r="8" spans="1:37" x14ac:dyDescent="0.3">
      <c r="B8" s="282" t="s">
        <v>56</v>
      </c>
      <c r="C8" s="297" t="s">
        <v>719</v>
      </c>
      <c r="D8" s="314" t="str">
        <f t="shared" si="0"/>
        <v>Toutes les femmes</v>
      </c>
      <c r="E8" s="297" t="s">
        <v>761</v>
      </c>
      <c r="F8" s="297">
        <v>2010</v>
      </c>
      <c r="G8" s="297">
        <v>5.3</v>
      </c>
      <c r="H8" s="297">
        <v>9.1</v>
      </c>
      <c r="I8" s="297">
        <v>2.7</v>
      </c>
      <c r="J8" s="297">
        <v>0.1</v>
      </c>
      <c r="K8" s="297">
        <v>21.1</v>
      </c>
      <c r="L8" s="297">
        <v>5.5</v>
      </c>
      <c r="M8" s="297">
        <v>4</v>
      </c>
      <c r="N8" s="297">
        <v>0</v>
      </c>
      <c r="O8" s="297">
        <v>0</v>
      </c>
      <c r="P8" s="297">
        <v>0</v>
      </c>
      <c r="Q8" s="297">
        <f t="shared" si="1"/>
        <v>0</v>
      </c>
      <c r="S8" s="297">
        <v>0</v>
      </c>
      <c r="T8" s="297">
        <v>0</v>
      </c>
      <c r="U8" s="297">
        <v>0</v>
      </c>
      <c r="V8" s="297">
        <v>0</v>
      </c>
      <c r="W8" s="297">
        <v>0</v>
      </c>
      <c r="X8" s="299"/>
      <c r="Y8" s="298"/>
      <c r="Z8" s="297"/>
      <c r="AA8" s="299"/>
      <c r="AB8" s="297"/>
      <c r="AC8" s="297"/>
      <c r="AD8" s="301"/>
      <c r="AE8" s="289"/>
      <c r="AF8" s="302">
        <f t="shared" si="2"/>
        <v>47.8</v>
      </c>
    </row>
    <row r="9" spans="1:37" x14ac:dyDescent="0.3">
      <c r="A9" s="559">
        <v>43922</v>
      </c>
      <c r="B9" s="560" t="s">
        <v>165</v>
      </c>
      <c r="C9" s="561" t="s">
        <v>718</v>
      </c>
      <c r="D9" s="562" t="str">
        <f t="shared" si="0"/>
        <v>Femmes mariées</v>
      </c>
      <c r="E9" s="561" t="s">
        <v>885</v>
      </c>
      <c r="F9" s="561">
        <v>2016</v>
      </c>
      <c r="G9" s="561">
        <v>9.6999999999999993</v>
      </c>
      <c r="H9" s="561">
        <v>0.1</v>
      </c>
      <c r="I9" s="561">
        <v>6.8</v>
      </c>
      <c r="J9" s="561">
        <v>3.8</v>
      </c>
      <c r="K9" s="561">
        <v>12</v>
      </c>
      <c r="L9" s="561">
        <v>3.9</v>
      </c>
      <c r="M9" s="561">
        <v>6.8</v>
      </c>
      <c r="N9" s="561">
        <v>0.1</v>
      </c>
      <c r="O9" s="561">
        <v>0.04</v>
      </c>
      <c r="P9" s="561"/>
      <c r="Q9" s="561">
        <f t="shared" si="1"/>
        <v>1.9000000000000001</v>
      </c>
      <c r="S9" s="561"/>
      <c r="T9" s="561"/>
      <c r="U9" s="561">
        <v>0.1</v>
      </c>
      <c r="V9" s="561"/>
      <c r="W9" s="561">
        <v>1.8</v>
      </c>
      <c r="X9" s="563"/>
      <c r="Y9" s="563"/>
      <c r="Z9" s="563"/>
      <c r="AA9" s="563"/>
      <c r="AB9" s="563"/>
      <c r="AC9" s="563"/>
      <c r="AD9" s="563"/>
      <c r="AE9" s="561"/>
      <c r="AF9" s="561">
        <f t="shared" si="2"/>
        <v>45.139999999999993</v>
      </c>
      <c r="AG9" s="565"/>
    </row>
    <row r="10" spans="1:37" ht="14.25" customHeight="1" x14ac:dyDescent="0.3">
      <c r="A10" s="565"/>
      <c r="B10" s="560" t="s">
        <v>31</v>
      </c>
      <c r="C10" s="561" t="s">
        <v>718</v>
      </c>
      <c r="D10" s="562" t="str">
        <f t="shared" si="0"/>
        <v>Femmes mariées</v>
      </c>
      <c r="E10" s="561" t="s">
        <v>886</v>
      </c>
      <c r="F10" s="561">
        <v>2019</v>
      </c>
      <c r="G10" s="561">
        <v>7.8E-2</v>
      </c>
      <c r="H10" s="561">
        <v>0</v>
      </c>
      <c r="I10" s="561">
        <v>1.4</v>
      </c>
      <c r="J10" s="561">
        <v>13.5</v>
      </c>
      <c r="K10" s="561">
        <v>9.8000000000000007</v>
      </c>
      <c r="L10" s="561">
        <v>3.9</v>
      </c>
      <c r="M10" s="561">
        <v>1.8</v>
      </c>
      <c r="N10" s="561">
        <v>0</v>
      </c>
      <c r="O10" s="561">
        <v>0</v>
      </c>
      <c r="P10" s="561"/>
      <c r="Q10" s="561">
        <f t="shared" si="1"/>
        <v>0.2</v>
      </c>
      <c r="S10" s="561"/>
      <c r="T10" s="561"/>
      <c r="U10" s="561"/>
      <c r="V10" s="561"/>
      <c r="W10" s="561">
        <v>0.2</v>
      </c>
      <c r="X10" s="563"/>
      <c r="Y10" s="563"/>
      <c r="Z10" s="563"/>
      <c r="AA10" s="563"/>
      <c r="AB10" s="563"/>
      <c r="AC10" s="563"/>
      <c r="AD10" s="563"/>
      <c r="AE10" s="561"/>
      <c r="AF10" s="561">
        <f t="shared" si="2"/>
        <v>30.677999999999997</v>
      </c>
      <c r="AG10" s="565"/>
    </row>
    <row r="11" spans="1:37" s="9" customFormat="1" ht="14.25" customHeight="1" x14ac:dyDescent="0.3">
      <c r="A11" s="448"/>
      <c r="B11" s="282" t="s">
        <v>57</v>
      </c>
      <c r="C11" s="297" t="s">
        <v>719</v>
      </c>
      <c r="D11" s="314" t="str">
        <f t="shared" si="0"/>
        <v>Toutes les femmes</v>
      </c>
      <c r="E11" s="297" t="s">
        <v>801</v>
      </c>
      <c r="F11" s="297">
        <v>2016</v>
      </c>
      <c r="G11" s="297">
        <v>0.3</v>
      </c>
      <c r="H11" s="297">
        <v>0.1</v>
      </c>
      <c r="I11" s="297">
        <v>0.6</v>
      </c>
      <c r="J11" s="297">
        <v>3.8</v>
      </c>
      <c r="K11" s="297">
        <v>7.1</v>
      </c>
      <c r="L11" s="297">
        <v>1</v>
      </c>
      <c r="M11" s="297">
        <v>1.2</v>
      </c>
      <c r="N11" s="297">
        <v>0</v>
      </c>
      <c r="O11" s="297">
        <v>0.1</v>
      </c>
      <c r="P11" s="297">
        <v>0</v>
      </c>
      <c r="Q11" s="297">
        <f t="shared" si="1"/>
        <v>0.4</v>
      </c>
      <c r="R11"/>
      <c r="S11" s="297">
        <v>0</v>
      </c>
      <c r="T11" s="297">
        <v>0</v>
      </c>
      <c r="U11" s="297">
        <v>0</v>
      </c>
      <c r="V11" s="297">
        <v>0.1</v>
      </c>
      <c r="W11" s="297">
        <v>0.3</v>
      </c>
      <c r="X11" s="299"/>
      <c r="Y11" s="299"/>
      <c r="Z11" s="299"/>
      <c r="AA11" s="299"/>
      <c r="AB11" s="299"/>
      <c r="AC11" s="299"/>
      <c r="AD11" s="301"/>
      <c r="AE11" s="289"/>
      <c r="AF11" s="302">
        <f t="shared" si="2"/>
        <v>14.599999999999998</v>
      </c>
      <c r="AH11"/>
      <c r="AI11"/>
      <c r="AJ11"/>
      <c r="AK11"/>
    </row>
    <row r="12" spans="1:37" x14ac:dyDescent="0.3">
      <c r="B12" s="282" t="s">
        <v>58</v>
      </c>
      <c r="C12" s="297" t="s">
        <v>719</v>
      </c>
      <c r="D12" s="314" t="str">
        <f t="shared" si="0"/>
        <v>Toutes les femmes</v>
      </c>
      <c r="E12" s="297" t="s">
        <v>762</v>
      </c>
      <c r="F12" s="297">
        <v>2014</v>
      </c>
      <c r="G12" s="297">
        <v>2.2000000000000002</v>
      </c>
      <c r="H12" s="297">
        <v>0.1</v>
      </c>
      <c r="I12" s="297">
        <v>3</v>
      </c>
      <c r="J12" s="297">
        <v>1.5</v>
      </c>
      <c r="K12" s="297">
        <v>6.2</v>
      </c>
      <c r="L12" s="297">
        <v>12</v>
      </c>
      <c r="M12" s="297">
        <v>1.5</v>
      </c>
      <c r="N12" s="297">
        <v>0</v>
      </c>
      <c r="O12" s="297">
        <v>0</v>
      </c>
      <c r="P12" s="297">
        <v>0</v>
      </c>
      <c r="Q12" s="297">
        <f t="shared" si="1"/>
        <v>0</v>
      </c>
      <c r="S12" s="297">
        <v>0</v>
      </c>
      <c r="T12" s="297">
        <v>0</v>
      </c>
      <c r="U12" s="297">
        <v>0</v>
      </c>
      <c r="V12" s="297">
        <v>0</v>
      </c>
      <c r="W12" s="297">
        <v>0</v>
      </c>
      <c r="X12" s="299"/>
      <c r="Y12" s="299"/>
      <c r="Z12" s="299"/>
      <c r="AA12" s="299"/>
      <c r="AB12" s="299"/>
      <c r="AC12" s="299"/>
      <c r="AD12" s="301"/>
      <c r="AE12" s="289"/>
      <c r="AF12" s="302">
        <f t="shared" si="2"/>
        <v>26.5</v>
      </c>
    </row>
    <row r="13" spans="1:37" s="565" customFormat="1" ht="13.95" customHeight="1" x14ac:dyDescent="0.3">
      <c r="A13" s="559">
        <v>43922</v>
      </c>
      <c r="B13" s="560" t="s">
        <v>59</v>
      </c>
      <c r="C13" s="561" t="s">
        <v>718</v>
      </c>
      <c r="D13" s="562" t="str">
        <f t="shared" si="0"/>
        <v>Femmes mariées</v>
      </c>
      <c r="E13" s="561" t="s">
        <v>899</v>
      </c>
      <c r="F13" s="561">
        <v>2018</v>
      </c>
      <c r="G13" s="561">
        <v>0.3</v>
      </c>
      <c r="H13" s="561"/>
      <c r="I13" s="561">
        <v>0.9</v>
      </c>
      <c r="J13" s="561">
        <v>2.6</v>
      </c>
      <c r="K13" s="561">
        <v>3.7</v>
      </c>
      <c r="L13" s="561">
        <v>1.1000000000000001</v>
      </c>
      <c r="M13" s="561">
        <v>5.2</v>
      </c>
      <c r="N13" s="561"/>
      <c r="O13" s="561"/>
      <c r="P13" s="561">
        <v>0.4</v>
      </c>
      <c r="Q13" s="561">
        <f t="shared" si="1"/>
        <v>0.3</v>
      </c>
      <c r="R13"/>
      <c r="S13" s="561"/>
      <c r="T13" s="561"/>
      <c r="U13" s="561"/>
      <c r="V13" s="561">
        <v>0.3</v>
      </c>
      <c r="W13" s="561"/>
      <c r="X13" s="563"/>
      <c r="Y13" s="563"/>
      <c r="Z13" s="563"/>
      <c r="AA13" s="563"/>
      <c r="AB13" s="563"/>
      <c r="AC13" s="563"/>
      <c r="AD13" s="563"/>
      <c r="AE13" s="561"/>
      <c r="AF13" s="561">
        <f t="shared" si="2"/>
        <v>14.500000000000002</v>
      </c>
      <c r="AH13"/>
      <c r="AI13"/>
      <c r="AJ13"/>
      <c r="AK13"/>
    </row>
    <row r="14" spans="1:37" x14ac:dyDescent="0.3">
      <c r="B14" s="282" t="s">
        <v>521</v>
      </c>
      <c r="C14" s="297" t="s">
        <v>719</v>
      </c>
      <c r="D14" s="314" t="str">
        <f t="shared" si="0"/>
        <v>Toutes les femmes</v>
      </c>
      <c r="E14" s="297" t="s">
        <v>897</v>
      </c>
      <c r="F14" s="297">
        <v>2010</v>
      </c>
      <c r="G14" s="297">
        <v>0.2</v>
      </c>
      <c r="H14" s="297">
        <v>0</v>
      </c>
      <c r="I14" s="297">
        <v>0</v>
      </c>
      <c r="J14" s="297">
        <v>0.2</v>
      </c>
      <c r="K14" s="297">
        <v>0.4</v>
      </c>
      <c r="L14" s="297">
        <v>5.2</v>
      </c>
      <c r="M14" s="297">
        <v>2.7</v>
      </c>
      <c r="N14" s="297">
        <v>0</v>
      </c>
      <c r="O14" s="297">
        <v>0</v>
      </c>
      <c r="P14" s="297">
        <v>0</v>
      </c>
      <c r="Q14" s="297">
        <f t="shared" si="1"/>
        <v>0.2</v>
      </c>
      <c r="S14" s="297">
        <v>0</v>
      </c>
      <c r="T14" s="297">
        <v>0</v>
      </c>
      <c r="U14" s="297">
        <v>0</v>
      </c>
      <c r="V14" s="297">
        <v>0</v>
      </c>
      <c r="W14" s="297">
        <v>0.2</v>
      </c>
      <c r="X14" s="299"/>
      <c r="Y14" s="299"/>
      <c r="Z14" s="299"/>
      <c r="AA14" s="299"/>
      <c r="AB14" s="299"/>
      <c r="AC14" s="299"/>
      <c r="AD14" s="301"/>
      <c r="AE14" s="289"/>
      <c r="AF14" s="302">
        <f t="shared" si="2"/>
        <v>8.8999999999999986</v>
      </c>
    </row>
    <row r="15" spans="1:37" x14ac:dyDescent="0.3">
      <c r="B15" s="282" t="s">
        <v>60</v>
      </c>
      <c r="C15" s="297" t="s">
        <v>719</v>
      </c>
      <c r="D15" s="314" t="str">
        <f t="shared" si="0"/>
        <v>Toutes les femmes</v>
      </c>
      <c r="E15" s="297" t="s">
        <v>898</v>
      </c>
      <c r="F15" s="297">
        <v>2014.5</v>
      </c>
      <c r="G15" s="297">
        <v>0.2</v>
      </c>
      <c r="H15" s="297">
        <v>0</v>
      </c>
      <c r="I15" s="297">
        <v>0</v>
      </c>
      <c r="J15" s="297">
        <v>0.9</v>
      </c>
      <c r="K15" s="297">
        <v>1.8</v>
      </c>
      <c r="L15" s="297">
        <v>0.3</v>
      </c>
      <c r="M15" s="297">
        <v>0.7</v>
      </c>
      <c r="N15" s="297">
        <v>0</v>
      </c>
      <c r="O15" s="297">
        <v>0</v>
      </c>
      <c r="P15" s="297">
        <v>0</v>
      </c>
      <c r="Q15" s="297">
        <f t="shared" si="1"/>
        <v>0</v>
      </c>
      <c r="S15" s="297">
        <v>0</v>
      </c>
      <c r="T15" s="297">
        <v>0</v>
      </c>
      <c r="U15" s="297">
        <v>0</v>
      </c>
      <c r="V15" s="297">
        <v>0</v>
      </c>
      <c r="W15" s="297">
        <v>0</v>
      </c>
      <c r="X15" s="299"/>
      <c r="Y15" s="305"/>
      <c r="Z15" s="305"/>
      <c r="AA15" s="299"/>
      <c r="AB15" s="299"/>
      <c r="AC15" s="299"/>
      <c r="AD15" s="301"/>
      <c r="AE15" s="289"/>
      <c r="AF15" s="302">
        <f t="shared" si="2"/>
        <v>3.9000000000000004</v>
      </c>
    </row>
    <row r="16" spans="1:37" x14ac:dyDescent="0.3">
      <c r="B16" s="282" t="s">
        <v>61</v>
      </c>
      <c r="C16" s="297" t="s">
        <v>719</v>
      </c>
      <c r="D16" s="314" t="str">
        <f t="shared" si="0"/>
        <v>Toutes les femmes</v>
      </c>
      <c r="E16" s="297" t="s">
        <v>764</v>
      </c>
      <c r="F16" s="297">
        <v>2012</v>
      </c>
      <c r="G16" s="297">
        <v>0.6</v>
      </c>
      <c r="H16" s="297">
        <v>0</v>
      </c>
      <c r="I16" s="297">
        <v>0</v>
      </c>
      <c r="J16" s="297">
        <v>1.1000000000000001</v>
      </c>
      <c r="K16" s="297">
        <v>3.7</v>
      </c>
      <c r="L16" s="297">
        <v>2</v>
      </c>
      <c r="M16" s="297">
        <v>1.9</v>
      </c>
      <c r="N16" s="297">
        <v>0</v>
      </c>
      <c r="O16" s="297">
        <v>0.5</v>
      </c>
      <c r="P16" s="297">
        <v>0</v>
      </c>
      <c r="Q16" s="297">
        <f t="shared" si="1"/>
        <v>0</v>
      </c>
      <c r="S16" s="297">
        <v>0</v>
      </c>
      <c r="T16" s="297">
        <v>0</v>
      </c>
      <c r="U16" s="297">
        <v>0</v>
      </c>
      <c r="V16" s="297">
        <v>0</v>
      </c>
      <c r="W16" s="297">
        <v>0</v>
      </c>
      <c r="X16" s="299"/>
      <c r="Y16" s="299"/>
      <c r="Z16" s="300"/>
      <c r="AA16" s="299"/>
      <c r="AB16" s="300"/>
      <c r="AC16" s="300"/>
      <c r="AD16" s="301"/>
      <c r="AE16" s="289"/>
      <c r="AF16" s="302">
        <f t="shared" si="2"/>
        <v>9.8000000000000007</v>
      </c>
    </row>
    <row r="17" spans="1:37" s="9" customFormat="1" x14ac:dyDescent="0.3">
      <c r="A17" s="448"/>
      <c r="B17" s="282" t="s">
        <v>62</v>
      </c>
      <c r="C17" s="297" t="s">
        <v>719</v>
      </c>
      <c r="D17" s="314" t="str">
        <f t="shared" si="0"/>
        <v>Toutes les femmes</v>
      </c>
      <c r="E17" s="297" t="s">
        <v>765</v>
      </c>
      <c r="F17" s="297">
        <v>2014.5</v>
      </c>
      <c r="G17" s="297">
        <v>0.19</v>
      </c>
      <c r="H17" s="297">
        <v>0.02</v>
      </c>
      <c r="I17" s="297">
        <v>0.05</v>
      </c>
      <c r="J17" s="297">
        <v>0.42</v>
      </c>
      <c r="K17" s="297">
        <v>2.17</v>
      </c>
      <c r="L17" s="297">
        <v>4.78</v>
      </c>
      <c r="M17" s="297">
        <v>10.52</v>
      </c>
      <c r="N17" s="297">
        <v>0.92</v>
      </c>
      <c r="O17" s="297">
        <v>0.7</v>
      </c>
      <c r="P17" s="297">
        <v>0</v>
      </c>
      <c r="Q17" s="297">
        <f t="shared" si="1"/>
        <v>0.02</v>
      </c>
      <c r="R17"/>
      <c r="S17" s="297">
        <v>0</v>
      </c>
      <c r="T17" s="297">
        <v>0</v>
      </c>
      <c r="U17" s="297">
        <v>0.02</v>
      </c>
      <c r="V17" s="297">
        <v>0</v>
      </c>
      <c r="W17" s="297">
        <v>0</v>
      </c>
      <c r="X17" s="299"/>
      <c r="Y17" s="299"/>
      <c r="Z17" s="300"/>
      <c r="AA17" s="299"/>
      <c r="AB17" s="300"/>
      <c r="AC17" s="300"/>
      <c r="AD17" s="301"/>
      <c r="AE17" s="289"/>
      <c r="AF17" s="302">
        <f t="shared" si="2"/>
        <v>19.79</v>
      </c>
      <c r="AH17"/>
      <c r="AI17"/>
      <c r="AJ17"/>
      <c r="AK17"/>
    </row>
    <row r="18" spans="1:37" s="9" customFormat="1" x14ac:dyDescent="0.3">
      <c r="A18" s="448"/>
      <c r="B18" s="282" t="s">
        <v>63</v>
      </c>
      <c r="C18" s="297" t="s">
        <v>719</v>
      </c>
      <c r="D18" s="314" t="str">
        <f t="shared" si="0"/>
        <v>Toutes les femmes</v>
      </c>
      <c r="E18" s="297" t="s">
        <v>884</v>
      </c>
      <c r="F18" s="297">
        <v>2016</v>
      </c>
      <c r="G18" s="297">
        <v>0.17</v>
      </c>
      <c r="H18" s="297">
        <v>0.28000000000000003</v>
      </c>
      <c r="I18" s="297">
        <v>7.0000000000000007E-2</v>
      </c>
      <c r="J18" s="297">
        <v>0.91</v>
      </c>
      <c r="K18" s="297">
        <v>4.13</v>
      </c>
      <c r="L18" s="297">
        <v>5.75</v>
      </c>
      <c r="M18" s="297">
        <v>2.89</v>
      </c>
      <c r="N18" s="297">
        <v>0.04</v>
      </c>
      <c r="O18" s="297">
        <v>0.4</v>
      </c>
      <c r="P18" s="297">
        <v>0</v>
      </c>
      <c r="Q18" s="297">
        <f t="shared" si="1"/>
        <v>0.02</v>
      </c>
      <c r="R18"/>
      <c r="S18" s="297">
        <v>0</v>
      </c>
      <c r="T18" s="297">
        <v>0.02</v>
      </c>
      <c r="U18" s="297">
        <v>0</v>
      </c>
      <c r="V18" s="297">
        <v>0</v>
      </c>
      <c r="W18" s="297">
        <v>0</v>
      </c>
      <c r="X18" s="299"/>
      <c r="Y18" s="299"/>
      <c r="Z18" s="300"/>
      <c r="AA18" s="299"/>
      <c r="AB18" s="300"/>
      <c r="AC18" s="300"/>
      <c r="AD18" s="301"/>
      <c r="AE18" s="289"/>
      <c r="AF18" s="302">
        <f t="shared" si="2"/>
        <v>14.66</v>
      </c>
      <c r="AH18"/>
      <c r="AI18"/>
      <c r="AJ18"/>
      <c r="AK18"/>
    </row>
    <row r="19" spans="1:37" s="9" customFormat="1" x14ac:dyDescent="0.3">
      <c r="A19" s="448"/>
      <c r="B19" s="282" t="s">
        <v>64</v>
      </c>
      <c r="C19" s="297" t="s">
        <v>718</v>
      </c>
      <c r="D19" s="314" t="str">
        <f t="shared" si="0"/>
        <v>Femmes mariées</v>
      </c>
      <c r="E19" s="297" t="s">
        <v>767</v>
      </c>
      <c r="F19" s="297">
        <v>2012</v>
      </c>
      <c r="G19" s="297">
        <v>0</v>
      </c>
      <c r="H19" s="297">
        <v>0</v>
      </c>
      <c r="I19" s="297">
        <v>0</v>
      </c>
      <c r="J19" s="297">
        <v>0.6</v>
      </c>
      <c r="K19" s="297">
        <v>6.1</v>
      </c>
      <c r="L19" s="297">
        <v>10.9</v>
      </c>
      <c r="M19" s="297">
        <v>0</v>
      </c>
      <c r="N19" s="297">
        <v>0</v>
      </c>
      <c r="O19" s="297">
        <v>0</v>
      </c>
      <c r="P19" s="297">
        <v>0</v>
      </c>
      <c r="Q19" s="297">
        <f t="shared" si="1"/>
        <v>0.4</v>
      </c>
      <c r="R19"/>
      <c r="S19" s="297">
        <v>0</v>
      </c>
      <c r="T19" s="297">
        <v>0</v>
      </c>
      <c r="U19" s="297">
        <v>0</v>
      </c>
      <c r="V19" s="297">
        <v>0</v>
      </c>
      <c r="W19" s="297">
        <v>0.4</v>
      </c>
      <c r="X19" s="299"/>
      <c r="Y19" s="299"/>
      <c r="Z19" s="300"/>
      <c r="AA19" s="299"/>
      <c r="AB19" s="300"/>
      <c r="AC19" s="300"/>
      <c r="AD19" s="301"/>
      <c r="AE19" s="289"/>
      <c r="AF19" s="302">
        <f t="shared" si="2"/>
        <v>18</v>
      </c>
      <c r="AH19"/>
      <c r="AI19"/>
      <c r="AJ19"/>
      <c r="AK19"/>
    </row>
    <row r="20" spans="1:37" s="9" customFormat="1" x14ac:dyDescent="0.3">
      <c r="A20" s="559">
        <v>43922</v>
      </c>
      <c r="B20" s="560" t="s">
        <v>115</v>
      </c>
      <c r="C20" s="561" t="s">
        <v>718</v>
      </c>
      <c r="D20" s="562" t="str">
        <f t="shared" si="0"/>
        <v>Femmes mariées</v>
      </c>
      <c r="E20" s="561" t="s">
        <v>869</v>
      </c>
      <c r="F20" s="561">
        <v>2017</v>
      </c>
      <c r="G20" s="561">
        <v>1.3</v>
      </c>
      <c r="H20" s="561">
        <v>0</v>
      </c>
      <c r="I20" s="561">
        <v>65.400000000000006</v>
      </c>
      <c r="J20" s="561">
        <v>0</v>
      </c>
      <c r="K20" s="561">
        <v>0.2</v>
      </c>
      <c r="L20" s="561">
        <v>0.3</v>
      </c>
      <c r="M20" s="561">
        <v>0.2</v>
      </c>
      <c r="N20" s="561">
        <v>0.6</v>
      </c>
      <c r="O20" s="561">
        <v>0</v>
      </c>
      <c r="P20" s="561">
        <v>0</v>
      </c>
      <c r="Q20" s="561">
        <f t="shared" si="1"/>
        <v>1.6</v>
      </c>
      <c r="R20"/>
      <c r="S20" s="561">
        <v>0.8</v>
      </c>
      <c r="T20" s="561">
        <v>0.8</v>
      </c>
      <c r="U20" s="561">
        <v>0</v>
      </c>
      <c r="V20" s="561">
        <v>0</v>
      </c>
      <c r="W20" s="561">
        <v>0</v>
      </c>
      <c r="X20" s="563"/>
      <c r="Y20" s="563"/>
      <c r="Z20" s="564"/>
      <c r="AA20" s="563"/>
      <c r="AB20" s="564"/>
      <c r="AC20" s="564"/>
      <c r="AD20" s="563"/>
      <c r="AE20" s="561"/>
      <c r="AF20" s="561">
        <f t="shared" si="2"/>
        <v>69.599999999999994</v>
      </c>
      <c r="AG20" s="565"/>
      <c r="AH20"/>
      <c r="AI20"/>
      <c r="AJ20"/>
      <c r="AK20"/>
    </row>
    <row r="21" spans="1:37" s="9" customFormat="1" x14ac:dyDescent="0.3">
      <c r="A21" s="559">
        <v>43922</v>
      </c>
      <c r="B21" s="560" t="s">
        <v>178</v>
      </c>
      <c r="C21" s="561" t="s">
        <v>719</v>
      </c>
      <c r="D21" s="562" t="str">
        <f t="shared" si="0"/>
        <v>Toutes les femmes</v>
      </c>
      <c r="E21" s="561" t="s">
        <v>870</v>
      </c>
      <c r="F21" s="561">
        <v>2018</v>
      </c>
      <c r="G21" s="561">
        <v>0.37965209999999999</v>
      </c>
      <c r="H21" s="561">
        <v>4.3382700000000003E-2</v>
      </c>
      <c r="I21" s="561">
        <v>0.3</v>
      </c>
      <c r="J21" s="561">
        <v>1.9863827000000001</v>
      </c>
      <c r="K21" s="561">
        <v>1.8794241999999999</v>
      </c>
      <c r="L21" s="561">
        <v>2.8944255999999999</v>
      </c>
      <c r="M21" s="561">
        <v>4.4274401999999995</v>
      </c>
      <c r="N21" s="561">
        <v>0.31746560000000001</v>
      </c>
      <c r="O21" s="561">
        <v>3.7792008000000004</v>
      </c>
      <c r="P21" s="561">
        <v>0</v>
      </c>
      <c r="Q21" s="561">
        <f t="shared" si="1"/>
        <v>0.19262939999999995</v>
      </c>
      <c r="R21"/>
      <c r="S21" s="561">
        <v>9.6314699999999989E-2</v>
      </c>
      <c r="T21" s="561">
        <v>8.800849999999999E-2</v>
      </c>
      <c r="U21" s="561">
        <v>8.3061999999999997E-3</v>
      </c>
      <c r="V21" s="561">
        <v>0</v>
      </c>
      <c r="W21" s="561">
        <v>0</v>
      </c>
      <c r="X21" s="563"/>
      <c r="Y21" s="563"/>
      <c r="Z21" s="564"/>
      <c r="AA21" s="563"/>
      <c r="AB21" s="564"/>
      <c r="AC21" s="564"/>
      <c r="AD21" s="563"/>
      <c r="AE21" s="561"/>
      <c r="AF21" s="561">
        <f t="shared" si="2"/>
        <v>16.200003300000002</v>
      </c>
      <c r="AG21" s="565"/>
      <c r="AH21"/>
      <c r="AI21"/>
      <c r="AJ21"/>
      <c r="AK21"/>
    </row>
    <row r="22" spans="1:37" s="9" customFormat="1" x14ac:dyDescent="0.3">
      <c r="A22" s="448"/>
      <c r="B22" s="282" t="s">
        <v>65</v>
      </c>
      <c r="C22" s="297" t="s">
        <v>718</v>
      </c>
      <c r="D22" s="314" t="str">
        <f t="shared" si="0"/>
        <v>Femmes mariées</v>
      </c>
      <c r="E22" s="297" t="s">
        <v>762</v>
      </c>
      <c r="F22" s="297">
        <v>2014</v>
      </c>
      <c r="G22" s="297">
        <v>1.2</v>
      </c>
      <c r="H22" s="297">
        <v>0</v>
      </c>
      <c r="I22" s="297">
        <v>30.1</v>
      </c>
      <c r="J22" s="297">
        <v>0.5</v>
      </c>
      <c r="K22" s="297">
        <v>8.5</v>
      </c>
      <c r="L22" s="297">
        <v>16</v>
      </c>
      <c r="M22" s="297">
        <v>0.5</v>
      </c>
      <c r="N22" s="297">
        <v>0</v>
      </c>
      <c r="O22" s="297">
        <v>0</v>
      </c>
      <c r="P22" s="297">
        <v>0</v>
      </c>
      <c r="Q22" s="297">
        <f t="shared" si="1"/>
        <v>0.2</v>
      </c>
      <c r="R22"/>
      <c r="S22" s="297">
        <v>0.1</v>
      </c>
      <c r="T22" s="297">
        <v>0.1</v>
      </c>
      <c r="U22" s="297">
        <v>0</v>
      </c>
      <c r="V22" s="297">
        <v>0</v>
      </c>
      <c r="W22" s="297">
        <v>0</v>
      </c>
      <c r="X22" s="299"/>
      <c r="Y22" s="299"/>
      <c r="Z22" s="300"/>
      <c r="AA22" s="299"/>
      <c r="AB22" s="300"/>
      <c r="AC22" s="300"/>
      <c r="AD22" s="301"/>
      <c r="AE22" s="289"/>
      <c r="AF22" s="302">
        <f t="shared" si="2"/>
        <v>57</v>
      </c>
      <c r="AH22"/>
      <c r="AI22"/>
      <c r="AJ22"/>
      <c r="AK22"/>
    </row>
    <row r="23" spans="1:37" s="9" customFormat="1" x14ac:dyDescent="0.3">
      <c r="A23" s="559">
        <v>43922</v>
      </c>
      <c r="B23" s="560" t="s">
        <v>66</v>
      </c>
      <c r="C23" s="561" t="s">
        <v>719</v>
      </c>
      <c r="D23" s="562" t="str">
        <f t="shared" si="0"/>
        <v>Toutes les femmes</v>
      </c>
      <c r="E23" s="561" t="s">
        <v>888</v>
      </c>
      <c r="F23" s="561">
        <v>2010</v>
      </c>
      <c r="G23" s="561">
        <v>0.1</v>
      </c>
      <c r="H23" s="561">
        <v>0</v>
      </c>
      <c r="I23" s="561">
        <v>0.2</v>
      </c>
      <c r="J23" s="561">
        <v>0</v>
      </c>
      <c r="K23" s="561">
        <v>1.1000000000000001</v>
      </c>
      <c r="L23" s="561">
        <v>1.4</v>
      </c>
      <c r="M23" s="561">
        <v>0.8</v>
      </c>
      <c r="N23" s="561">
        <v>0</v>
      </c>
      <c r="O23" s="561">
        <v>1</v>
      </c>
      <c r="P23" s="561">
        <v>0</v>
      </c>
      <c r="Q23" s="561">
        <f t="shared" si="1"/>
        <v>0</v>
      </c>
      <c r="R23"/>
      <c r="S23" s="561">
        <v>0</v>
      </c>
      <c r="T23" s="561">
        <v>0</v>
      </c>
      <c r="U23" s="561">
        <v>0</v>
      </c>
      <c r="V23" s="561">
        <v>0</v>
      </c>
      <c r="W23" s="561">
        <v>0</v>
      </c>
      <c r="X23" s="563"/>
      <c r="Y23" s="563"/>
      <c r="Z23" s="564"/>
      <c r="AA23" s="563"/>
      <c r="AB23" s="564"/>
      <c r="AC23" s="564"/>
      <c r="AD23" s="563"/>
      <c r="AE23" s="561"/>
      <c r="AF23" s="561">
        <f t="shared" si="2"/>
        <v>4.5999999999999996</v>
      </c>
      <c r="AG23" s="565"/>
      <c r="AH23"/>
      <c r="AI23"/>
      <c r="AJ23"/>
      <c r="AK23"/>
    </row>
    <row r="24" spans="1:37" s="9" customFormat="1" x14ac:dyDescent="0.3">
      <c r="A24" s="559">
        <v>43922</v>
      </c>
      <c r="B24" s="560" t="s">
        <v>32</v>
      </c>
      <c r="C24" s="561" t="s">
        <v>718</v>
      </c>
      <c r="D24" s="562" t="str">
        <f t="shared" si="0"/>
        <v>Femmes mariées</v>
      </c>
      <c r="E24" s="561" t="s">
        <v>889</v>
      </c>
      <c r="F24" s="561">
        <v>2019</v>
      </c>
      <c r="G24" s="561">
        <v>0.3</v>
      </c>
      <c r="H24" s="561">
        <v>0</v>
      </c>
      <c r="I24" s="561">
        <v>1.5</v>
      </c>
      <c r="J24" s="561">
        <v>8.5</v>
      </c>
      <c r="K24" s="561">
        <v>27.2</v>
      </c>
      <c r="L24" s="561">
        <v>2</v>
      </c>
      <c r="M24" s="561">
        <v>0.1</v>
      </c>
      <c r="N24" s="561">
        <v>0</v>
      </c>
      <c r="O24" s="561">
        <v>0.6</v>
      </c>
      <c r="P24" s="561">
        <v>0.2</v>
      </c>
      <c r="Q24" s="561">
        <f t="shared" si="1"/>
        <v>0</v>
      </c>
      <c r="R24"/>
      <c r="S24" s="561">
        <v>0</v>
      </c>
      <c r="T24" s="561">
        <v>0</v>
      </c>
      <c r="U24" s="561">
        <v>0</v>
      </c>
      <c r="V24" s="561">
        <v>0</v>
      </c>
      <c r="W24" s="561">
        <v>0</v>
      </c>
      <c r="X24" s="563"/>
      <c r="Y24" s="563"/>
      <c r="Z24" s="564"/>
      <c r="AA24" s="563"/>
      <c r="AB24" s="564"/>
      <c r="AC24" s="564"/>
      <c r="AD24" s="563"/>
      <c r="AE24" s="561"/>
      <c r="AF24" s="561">
        <f t="shared" si="2"/>
        <v>40.400000000000006</v>
      </c>
      <c r="AG24" s="565"/>
      <c r="AH24"/>
      <c r="AI24"/>
      <c r="AJ24"/>
      <c r="AK24"/>
    </row>
    <row r="25" spans="1:37" s="9" customFormat="1" x14ac:dyDescent="0.3">
      <c r="A25" s="559">
        <v>43922</v>
      </c>
      <c r="B25" s="560" t="s">
        <v>67</v>
      </c>
      <c r="C25" s="561" t="s">
        <v>719</v>
      </c>
      <c r="D25" s="562" t="str">
        <f t="shared" si="0"/>
        <v>Toutes les femmes</v>
      </c>
      <c r="E25" s="561" t="s">
        <v>870</v>
      </c>
      <c r="F25" s="561">
        <v>2018</v>
      </c>
      <c r="G25" s="561">
        <v>0.2047437</v>
      </c>
      <c r="H25" s="561">
        <v>5.8311999999999999E-3</v>
      </c>
      <c r="I25" s="561">
        <v>0.36059170000000001</v>
      </c>
      <c r="J25" s="561">
        <v>3.7652792999999996</v>
      </c>
      <c r="K25" s="561">
        <v>5.8345317000000003</v>
      </c>
      <c r="L25" s="561">
        <v>1.4819917</v>
      </c>
      <c r="M25" s="561">
        <v>0.10080829999999999</v>
      </c>
      <c r="N25" s="561">
        <v>0</v>
      </c>
      <c r="O25" s="561">
        <v>0</v>
      </c>
      <c r="P25" s="561">
        <v>0</v>
      </c>
      <c r="Q25" s="561">
        <f t="shared" si="1"/>
        <v>1.9173599999999999E-2</v>
      </c>
      <c r="R25"/>
      <c r="S25" s="561">
        <v>9.5867999999999995E-3</v>
      </c>
      <c r="T25" s="561">
        <v>9.5867999999999995E-3</v>
      </c>
      <c r="U25" s="561">
        <v>0</v>
      </c>
      <c r="V25" s="561">
        <v>0</v>
      </c>
      <c r="W25" s="561">
        <v>0</v>
      </c>
      <c r="X25" s="563"/>
      <c r="Y25" s="563"/>
      <c r="Z25" s="564"/>
      <c r="AA25" s="563"/>
      <c r="AB25" s="564"/>
      <c r="AC25" s="564"/>
      <c r="AD25" s="563"/>
      <c r="AE25" s="561"/>
      <c r="AF25" s="561">
        <f t="shared" si="2"/>
        <v>11.772951200000001</v>
      </c>
      <c r="AG25" s="565"/>
      <c r="AH25"/>
      <c r="AI25"/>
      <c r="AJ25"/>
      <c r="AK25"/>
    </row>
    <row r="26" spans="1:37" s="9" customFormat="1" x14ac:dyDescent="0.3">
      <c r="A26" s="559">
        <v>43922</v>
      </c>
      <c r="B26" s="560" t="s">
        <v>33</v>
      </c>
      <c r="C26" s="561" t="s">
        <v>719</v>
      </c>
      <c r="D26" s="562" t="str">
        <f t="shared" si="0"/>
        <v>Toutes les femmes</v>
      </c>
      <c r="E26" s="561" t="s">
        <v>890</v>
      </c>
      <c r="F26" s="561">
        <v>2017.5</v>
      </c>
      <c r="G26" s="561">
        <v>1.3</v>
      </c>
      <c r="H26" s="561">
        <v>0</v>
      </c>
      <c r="I26" s="561">
        <v>0.8</v>
      </c>
      <c r="J26" s="561">
        <v>4</v>
      </c>
      <c r="K26" s="561">
        <v>7.1</v>
      </c>
      <c r="L26" s="561">
        <v>4.5</v>
      </c>
      <c r="M26" s="561">
        <v>0.7</v>
      </c>
      <c r="N26" s="561">
        <v>0</v>
      </c>
      <c r="O26" s="561">
        <v>0</v>
      </c>
      <c r="P26" s="561">
        <v>0</v>
      </c>
      <c r="Q26" s="561">
        <f t="shared" si="1"/>
        <v>0.2</v>
      </c>
      <c r="R26"/>
      <c r="S26" s="561">
        <v>0.1</v>
      </c>
      <c r="T26" s="561">
        <v>0.1</v>
      </c>
      <c r="U26" s="561">
        <v>0</v>
      </c>
      <c r="V26" s="561">
        <v>0</v>
      </c>
      <c r="W26" s="561">
        <v>0</v>
      </c>
      <c r="X26" s="563"/>
      <c r="Y26" s="563"/>
      <c r="Z26" s="564"/>
      <c r="AA26" s="563"/>
      <c r="AB26" s="564"/>
      <c r="AC26" s="564"/>
      <c r="AD26" s="563"/>
      <c r="AE26" s="561"/>
      <c r="AF26" s="561">
        <f t="shared" si="2"/>
        <v>18.599999999999998</v>
      </c>
      <c r="AG26" s="565"/>
      <c r="AH26"/>
      <c r="AI26"/>
      <c r="AJ26"/>
      <c r="AK26"/>
    </row>
    <row r="27" spans="1:37" s="9" customFormat="1" x14ac:dyDescent="0.3">
      <c r="A27" s="559">
        <v>43922</v>
      </c>
      <c r="B27" s="560" t="s">
        <v>68</v>
      </c>
      <c r="C27" s="561" t="s">
        <v>719</v>
      </c>
      <c r="D27" s="562" t="str">
        <f t="shared" si="0"/>
        <v>Toutes les femmes</v>
      </c>
      <c r="E27" s="561" t="s">
        <v>879</v>
      </c>
      <c r="F27" s="561">
        <v>2018</v>
      </c>
      <c r="G27" s="561">
        <v>0.1</v>
      </c>
      <c r="H27" s="561">
        <v>0.1</v>
      </c>
      <c r="I27" s="561">
        <v>0.5</v>
      </c>
      <c r="J27" s="561">
        <v>2.2000000000000002</v>
      </c>
      <c r="K27" s="561">
        <v>2.1</v>
      </c>
      <c r="L27" s="561">
        <v>1.9</v>
      </c>
      <c r="M27" s="561">
        <v>1.4</v>
      </c>
      <c r="N27" s="561">
        <v>0</v>
      </c>
      <c r="O27" s="561">
        <v>2.8</v>
      </c>
      <c r="P27" s="561">
        <v>0.3</v>
      </c>
      <c r="Q27" s="561">
        <f t="shared" si="1"/>
        <v>0</v>
      </c>
      <c r="R27"/>
      <c r="S27" s="561">
        <v>0</v>
      </c>
      <c r="T27" s="561">
        <v>0</v>
      </c>
      <c r="U27" s="561">
        <v>0</v>
      </c>
      <c r="V27" s="561">
        <v>0</v>
      </c>
      <c r="W27" s="561">
        <v>0</v>
      </c>
      <c r="X27" s="563"/>
      <c r="Y27" s="563"/>
      <c r="Z27" s="564"/>
      <c r="AA27" s="563"/>
      <c r="AB27" s="564"/>
      <c r="AC27" s="564"/>
      <c r="AD27" s="563"/>
      <c r="AE27" s="561"/>
      <c r="AF27" s="561">
        <f t="shared" si="2"/>
        <v>11.400000000000002</v>
      </c>
      <c r="AG27" s="565"/>
      <c r="AH27"/>
      <c r="AI27"/>
      <c r="AJ27"/>
      <c r="AK27"/>
    </row>
    <row r="28" spans="1:37" s="9" customFormat="1" x14ac:dyDescent="0.3">
      <c r="A28" s="448"/>
      <c r="B28" s="282" t="s">
        <v>69</v>
      </c>
      <c r="C28" s="297" t="s">
        <v>719</v>
      </c>
      <c r="D28" s="314" t="str">
        <f t="shared" si="0"/>
        <v>Toutes les femmes</v>
      </c>
      <c r="E28" s="297" t="s">
        <v>760</v>
      </c>
      <c r="F28" s="297">
        <v>2014</v>
      </c>
      <c r="G28" s="297">
        <v>0.1</v>
      </c>
      <c r="H28" s="297">
        <v>0</v>
      </c>
      <c r="I28" s="297">
        <v>6.4</v>
      </c>
      <c r="J28" s="297">
        <v>6.3</v>
      </c>
      <c r="K28" s="297">
        <v>1.2</v>
      </c>
      <c r="L28" s="297">
        <v>1.7</v>
      </c>
      <c r="M28" s="297">
        <v>7.3</v>
      </c>
      <c r="N28" s="297">
        <v>0</v>
      </c>
      <c r="O28" s="297">
        <v>1.7</v>
      </c>
      <c r="P28" s="297">
        <v>0</v>
      </c>
      <c r="Q28" s="297">
        <f t="shared" si="1"/>
        <v>1</v>
      </c>
      <c r="R28"/>
      <c r="S28" s="297">
        <v>0</v>
      </c>
      <c r="T28" s="297">
        <v>0</v>
      </c>
      <c r="U28" s="297">
        <v>0</v>
      </c>
      <c r="V28" s="297">
        <v>0</v>
      </c>
      <c r="W28" s="297">
        <v>1</v>
      </c>
      <c r="X28" s="299"/>
      <c r="Y28" s="299"/>
      <c r="Z28" s="300"/>
      <c r="AA28" s="299"/>
      <c r="AB28" s="300"/>
      <c r="AC28" s="300"/>
      <c r="AD28" s="301"/>
      <c r="AE28" s="289"/>
      <c r="AF28" s="302">
        <f t="shared" si="2"/>
        <v>25.7</v>
      </c>
      <c r="AH28"/>
      <c r="AI28"/>
      <c r="AJ28"/>
      <c r="AK28"/>
    </row>
    <row r="29" spans="1:37" s="9" customFormat="1" x14ac:dyDescent="0.3">
      <c r="A29" s="448"/>
      <c r="B29" s="282" t="s">
        <v>70</v>
      </c>
      <c r="C29" s="297" t="s">
        <v>719</v>
      </c>
      <c r="D29" s="314" t="str">
        <f t="shared" si="0"/>
        <v>Toutes les femmes</v>
      </c>
      <c r="E29" s="297" t="s">
        <v>801</v>
      </c>
      <c r="F29" s="297">
        <v>2016</v>
      </c>
      <c r="G29" s="297">
        <v>0.7</v>
      </c>
      <c r="H29" s="297">
        <v>0.1</v>
      </c>
      <c r="I29" s="297">
        <v>0.1</v>
      </c>
      <c r="J29" s="297">
        <v>1.4</v>
      </c>
      <c r="K29" s="297">
        <v>12</v>
      </c>
      <c r="L29" s="297">
        <v>1.4</v>
      </c>
      <c r="M29" s="297">
        <v>6.2</v>
      </c>
      <c r="N29" s="297">
        <v>0</v>
      </c>
      <c r="O29" s="297">
        <v>0.4</v>
      </c>
      <c r="P29" s="297">
        <v>0</v>
      </c>
      <c r="Q29" s="297">
        <f t="shared" si="1"/>
        <v>0</v>
      </c>
      <c r="R29"/>
      <c r="S29" s="297">
        <v>0</v>
      </c>
      <c r="T29" s="297">
        <v>0</v>
      </c>
      <c r="U29" s="297">
        <v>0</v>
      </c>
      <c r="V29" s="297">
        <v>0</v>
      </c>
      <c r="W29" s="297">
        <v>0</v>
      </c>
      <c r="X29" s="299"/>
      <c r="Y29" s="299"/>
      <c r="Z29" s="300"/>
      <c r="AA29" s="299"/>
      <c r="AB29" s="300"/>
      <c r="AC29" s="300"/>
      <c r="AD29" s="301"/>
      <c r="AE29" s="289"/>
      <c r="AF29" s="302">
        <f t="shared" si="2"/>
        <v>22.3</v>
      </c>
      <c r="AH29"/>
      <c r="AI29"/>
      <c r="AJ29"/>
      <c r="AK29"/>
    </row>
    <row r="30" spans="1:37" s="9" customFormat="1" x14ac:dyDescent="0.3">
      <c r="A30" s="448"/>
      <c r="B30" s="282" t="s">
        <v>71</v>
      </c>
      <c r="C30" s="297" t="s">
        <v>719</v>
      </c>
      <c r="D30" s="314" t="str">
        <f t="shared" si="0"/>
        <v>Toutes les femmes</v>
      </c>
      <c r="E30" s="297" t="s">
        <v>766</v>
      </c>
      <c r="F30" s="297">
        <v>2011.5</v>
      </c>
      <c r="G30" s="297">
        <v>15.9</v>
      </c>
      <c r="H30" s="297">
        <v>0.2</v>
      </c>
      <c r="I30" s="297">
        <v>4.5999999999999996</v>
      </c>
      <c r="J30" s="297">
        <v>0</v>
      </c>
      <c r="K30" s="297">
        <v>11.2</v>
      </c>
      <c r="L30" s="297">
        <v>7.4</v>
      </c>
      <c r="M30" s="297">
        <v>3.6</v>
      </c>
      <c r="N30" s="297">
        <v>0</v>
      </c>
      <c r="O30" s="297">
        <v>0</v>
      </c>
      <c r="P30" s="297">
        <v>0</v>
      </c>
      <c r="Q30" s="297">
        <f t="shared" si="1"/>
        <v>0</v>
      </c>
      <c r="R30"/>
      <c r="S30" s="297">
        <v>0</v>
      </c>
      <c r="T30" s="297">
        <v>0</v>
      </c>
      <c r="U30" s="297">
        <v>0</v>
      </c>
      <c r="V30" s="297">
        <v>0</v>
      </c>
      <c r="W30" s="297">
        <v>0</v>
      </c>
      <c r="X30" s="299"/>
      <c r="Y30" s="299"/>
      <c r="Z30" s="300"/>
      <c r="AA30" s="299"/>
      <c r="AB30" s="300"/>
      <c r="AC30" s="300"/>
      <c r="AD30" s="301"/>
      <c r="AE30" s="289"/>
      <c r="AF30" s="302">
        <f t="shared" si="2"/>
        <v>42.900000000000006</v>
      </c>
      <c r="AH30"/>
      <c r="AI30"/>
      <c r="AJ30"/>
      <c r="AK30"/>
    </row>
    <row r="31" spans="1:37" s="9" customFormat="1" x14ac:dyDescent="0.3">
      <c r="A31" s="559">
        <v>43922</v>
      </c>
      <c r="B31" s="560" t="s">
        <v>34</v>
      </c>
      <c r="C31" s="561" t="s">
        <v>719</v>
      </c>
      <c r="D31" s="562" t="str">
        <f t="shared" si="0"/>
        <v>Toutes les femmes</v>
      </c>
      <c r="E31" s="561" t="s">
        <v>891</v>
      </c>
      <c r="F31" s="561">
        <v>2015.5</v>
      </c>
      <c r="G31" s="561">
        <v>27.84</v>
      </c>
      <c r="H31" s="561">
        <v>0.2</v>
      </c>
      <c r="I31" s="561">
        <v>1.1299999999999999</v>
      </c>
      <c r="J31" s="561">
        <v>0</v>
      </c>
      <c r="K31" s="561">
        <v>0.13</v>
      </c>
      <c r="L31" s="561">
        <v>2.98</v>
      </c>
      <c r="M31" s="561">
        <v>4.16</v>
      </c>
      <c r="N31" s="561">
        <v>0</v>
      </c>
      <c r="O31" s="561">
        <v>0.1</v>
      </c>
      <c r="P31" s="561">
        <v>0</v>
      </c>
      <c r="Q31" s="561">
        <f t="shared" si="1"/>
        <v>0</v>
      </c>
      <c r="R31"/>
      <c r="S31" s="561">
        <v>0</v>
      </c>
      <c r="T31" s="561">
        <v>0</v>
      </c>
      <c r="U31" s="561">
        <v>0</v>
      </c>
      <c r="V31" s="561">
        <v>0</v>
      </c>
      <c r="W31" s="561">
        <v>0</v>
      </c>
      <c r="X31" s="563"/>
      <c r="Y31" s="563"/>
      <c r="Z31" s="564"/>
      <c r="AA31" s="563"/>
      <c r="AB31" s="564"/>
      <c r="AC31" s="564"/>
      <c r="AD31" s="563"/>
      <c r="AE31" s="561"/>
      <c r="AF31" s="561">
        <f t="shared" si="2"/>
        <v>36.54</v>
      </c>
      <c r="AG31" s="565"/>
      <c r="AH31"/>
      <c r="AI31"/>
      <c r="AJ31"/>
      <c r="AK31"/>
    </row>
    <row r="32" spans="1:37" s="9" customFormat="1" x14ac:dyDescent="0.3">
      <c r="A32" s="559">
        <v>43922</v>
      </c>
      <c r="B32" s="560" t="s">
        <v>35</v>
      </c>
      <c r="C32" s="561" t="s">
        <v>719</v>
      </c>
      <c r="D32" s="562" t="str">
        <f t="shared" si="0"/>
        <v>Toutes les femmes</v>
      </c>
      <c r="E32" s="561" t="s">
        <v>803</v>
      </c>
      <c r="F32" s="561">
        <v>2017</v>
      </c>
      <c r="G32" s="561">
        <v>2.8</v>
      </c>
      <c r="H32" s="561">
        <v>0.1</v>
      </c>
      <c r="I32" s="561">
        <v>3.5</v>
      </c>
      <c r="J32" s="561">
        <v>3.4</v>
      </c>
      <c r="K32" s="561">
        <v>20.9</v>
      </c>
      <c r="L32" s="561">
        <v>8.6999999999999993</v>
      </c>
      <c r="M32" s="561">
        <v>1.8</v>
      </c>
      <c r="N32" s="561">
        <v>0</v>
      </c>
      <c r="O32" s="561">
        <v>0.1</v>
      </c>
      <c r="P32" s="561">
        <v>0</v>
      </c>
      <c r="Q32" s="561">
        <f t="shared" si="1"/>
        <v>0</v>
      </c>
      <c r="R32"/>
      <c r="S32" s="561">
        <v>0</v>
      </c>
      <c r="T32" s="561">
        <v>0</v>
      </c>
      <c r="U32" s="561">
        <v>0</v>
      </c>
      <c r="V32" s="561">
        <v>0</v>
      </c>
      <c r="W32" s="561">
        <v>0</v>
      </c>
      <c r="X32" s="563"/>
      <c r="Y32" s="563"/>
      <c r="Z32" s="564"/>
      <c r="AA32" s="563"/>
      <c r="AB32" s="564"/>
      <c r="AC32" s="564"/>
      <c r="AD32" s="563"/>
      <c r="AE32" s="561"/>
      <c r="AF32" s="561">
        <f t="shared" si="2"/>
        <v>41.3</v>
      </c>
      <c r="AG32" s="565"/>
      <c r="AH32"/>
      <c r="AI32"/>
      <c r="AJ32"/>
      <c r="AK32"/>
    </row>
    <row r="33" spans="1:37" s="9" customFormat="1" x14ac:dyDescent="0.3">
      <c r="A33" s="559">
        <v>43922</v>
      </c>
      <c r="B33" s="560" t="s">
        <v>72</v>
      </c>
      <c r="C33" s="561" t="s">
        <v>718</v>
      </c>
      <c r="D33" s="562" t="str">
        <f t="shared" si="0"/>
        <v>Femmes mariées</v>
      </c>
      <c r="E33" s="561" t="s">
        <v>870</v>
      </c>
      <c r="F33" s="561">
        <v>2018</v>
      </c>
      <c r="G33" s="561">
        <v>3</v>
      </c>
      <c r="H33" s="561">
        <v>0.1</v>
      </c>
      <c r="I33" s="561">
        <v>8.8000000000000007</v>
      </c>
      <c r="J33" s="561">
        <v>0.2</v>
      </c>
      <c r="K33" s="561">
        <v>3.9</v>
      </c>
      <c r="L33" s="561">
        <v>16</v>
      </c>
      <c r="M33" s="561">
        <v>3.2</v>
      </c>
      <c r="N33" s="561">
        <v>0.1</v>
      </c>
      <c r="O33" s="561">
        <v>0.8</v>
      </c>
      <c r="P33" s="561">
        <v>0</v>
      </c>
      <c r="Q33" s="561">
        <f t="shared" si="1"/>
        <v>0.2</v>
      </c>
      <c r="R33"/>
      <c r="S33" s="561">
        <v>0.1</v>
      </c>
      <c r="T33" s="561">
        <v>0.1</v>
      </c>
      <c r="U33" s="561">
        <v>0</v>
      </c>
      <c r="V33" s="561">
        <v>0</v>
      </c>
      <c r="W33" s="561">
        <v>0</v>
      </c>
      <c r="X33" s="563"/>
      <c r="Y33" s="563"/>
      <c r="Z33" s="564"/>
      <c r="AA33" s="563"/>
      <c r="AB33" s="564"/>
      <c r="AC33" s="564"/>
      <c r="AD33" s="563"/>
      <c r="AE33" s="561"/>
      <c r="AF33" s="561">
        <f t="shared" si="2"/>
        <v>36.300000000000004</v>
      </c>
      <c r="AG33" s="565"/>
      <c r="AH33"/>
      <c r="AI33"/>
      <c r="AJ33"/>
      <c r="AK33"/>
    </row>
    <row r="34" spans="1:37" s="565" customFormat="1" x14ac:dyDescent="0.3">
      <c r="A34" s="559">
        <v>43922</v>
      </c>
      <c r="B34" s="560" t="s">
        <v>195</v>
      </c>
      <c r="C34" s="561" t="s">
        <v>718</v>
      </c>
      <c r="D34" s="562" t="str">
        <f t="shared" si="0"/>
        <v>Femmes mariées</v>
      </c>
      <c r="E34" s="561" t="s">
        <v>877</v>
      </c>
      <c r="F34" s="561">
        <v>2017.5</v>
      </c>
      <c r="G34" s="561">
        <v>1.5</v>
      </c>
      <c r="H34" s="561">
        <v>0</v>
      </c>
      <c r="I34" s="561">
        <v>20.8</v>
      </c>
      <c r="J34" s="561">
        <v>0.3</v>
      </c>
      <c r="K34" s="561">
        <v>0.8</v>
      </c>
      <c r="L34" s="561">
        <v>7.8</v>
      </c>
      <c r="M34" s="561">
        <v>5.0999999999999996</v>
      </c>
      <c r="N34" s="561">
        <v>0</v>
      </c>
      <c r="O34" s="561">
        <v>1.1000000000000001</v>
      </c>
      <c r="P34" s="561">
        <v>0</v>
      </c>
      <c r="Q34" s="561">
        <f t="shared" si="1"/>
        <v>0</v>
      </c>
      <c r="R34"/>
      <c r="S34" s="561"/>
      <c r="T34" s="561">
        <v>0</v>
      </c>
      <c r="U34" s="561">
        <v>0</v>
      </c>
      <c r="V34" s="561">
        <v>0</v>
      </c>
      <c r="W34" s="561">
        <v>0</v>
      </c>
      <c r="X34" s="561"/>
      <c r="Y34" s="561"/>
      <c r="Z34" s="561"/>
      <c r="AA34" s="561"/>
      <c r="AB34" s="561"/>
      <c r="AC34" s="561"/>
      <c r="AD34" s="561"/>
      <c r="AE34" s="561"/>
      <c r="AF34" s="561">
        <f t="shared" si="2"/>
        <v>37.400000000000006</v>
      </c>
      <c r="AH34"/>
      <c r="AI34"/>
      <c r="AJ34"/>
      <c r="AK34"/>
    </row>
    <row r="35" spans="1:37" s="9" customFormat="1" x14ac:dyDescent="0.3">
      <c r="A35" s="448"/>
      <c r="B35" s="282" t="s">
        <v>36</v>
      </c>
      <c r="C35" s="297" t="s">
        <v>719</v>
      </c>
      <c r="D35" s="314" t="str">
        <f t="shared" si="0"/>
        <v>Toutes les femmes</v>
      </c>
      <c r="E35" s="297" t="s">
        <v>762</v>
      </c>
      <c r="F35" s="297">
        <v>2015</v>
      </c>
      <c r="G35" s="297">
        <v>2.2000000000000002</v>
      </c>
      <c r="H35" s="297">
        <v>0</v>
      </c>
      <c r="I35" s="297">
        <v>2.2999999999999998</v>
      </c>
      <c r="J35" s="297">
        <v>7.1</v>
      </c>
      <c r="K35" s="297">
        <v>18.7</v>
      </c>
      <c r="L35" s="297">
        <v>5.5</v>
      </c>
      <c r="M35" s="297">
        <v>3.1</v>
      </c>
      <c r="N35" s="297">
        <v>0</v>
      </c>
      <c r="O35" s="297">
        <v>0.1</v>
      </c>
      <c r="P35" s="297">
        <v>0</v>
      </c>
      <c r="Q35" s="297">
        <f t="shared" si="1"/>
        <v>0</v>
      </c>
      <c r="R35"/>
      <c r="S35" s="297">
        <v>0</v>
      </c>
      <c r="T35" s="297">
        <v>0</v>
      </c>
      <c r="U35" s="297">
        <v>0</v>
      </c>
      <c r="V35" s="297">
        <v>0</v>
      </c>
      <c r="W35" s="297">
        <v>0</v>
      </c>
      <c r="X35" s="299"/>
      <c r="Y35" s="299"/>
      <c r="Z35" s="300"/>
      <c r="AA35" s="299"/>
      <c r="AB35" s="300"/>
      <c r="AC35" s="300"/>
      <c r="AD35" s="301"/>
      <c r="AE35" s="289"/>
      <c r="AF35" s="302">
        <f t="shared" si="2"/>
        <v>39</v>
      </c>
      <c r="AH35"/>
      <c r="AI35"/>
      <c r="AJ35"/>
      <c r="AK35"/>
    </row>
    <row r="36" spans="1:37" s="9" customFormat="1" x14ac:dyDescent="0.3">
      <c r="A36" s="559">
        <v>43922</v>
      </c>
      <c r="B36" s="560" t="s">
        <v>796</v>
      </c>
      <c r="C36" s="561" t="s">
        <v>719</v>
      </c>
      <c r="D36" s="562" t="str">
        <f t="shared" si="0"/>
        <v>Toutes les femmes</v>
      </c>
      <c r="E36" s="561" t="s">
        <v>870</v>
      </c>
      <c r="F36" s="561">
        <v>2018</v>
      </c>
      <c r="G36" s="561">
        <v>0.90429670000000006</v>
      </c>
      <c r="H36" s="561">
        <v>0.1423015</v>
      </c>
      <c r="I36" s="561">
        <v>14.781373200000001</v>
      </c>
      <c r="J36" s="561">
        <v>0</v>
      </c>
      <c r="K36" s="561">
        <v>0.25514720000000002</v>
      </c>
      <c r="L36" s="561">
        <v>2.3160612</v>
      </c>
      <c r="M36" s="561">
        <v>9.803197299999999</v>
      </c>
      <c r="N36" s="561">
        <v>7.8206000000000005E-3</v>
      </c>
      <c r="O36" s="561">
        <v>0</v>
      </c>
      <c r="P36" s="561">
        <v>0</v>
      </c>
      <c r="Q36" s="561">
        <f t="shared" si="1"/>
        <v>4.6688399999999998E-2</v>
      </c>
      <c r="R36"/>
      <c r="S36" s="561">
        <v>0</v>
      </c>
      <c r="T36" s="561">
        <v>0</v>
      </c>
      <c r="U36" s="561">
        <v>0</v>
      </c>
      <c r="V36" s="561">
        <v>4.6688399999999998E-2</v>
      </c>
      <c r="W36" s="561">
        <v>0</v>
      </c>
      <c r="X36" s="563"/>
      <c r="Y36" s="563"/>
      <c r="Z36" s="564"/>
      <c r="AA36" s="563"/>
      <c r="AB36" s="564"/>
      <c r="AC36" s="564"/>
      <c r="AD36" s="563"/>
      <c r="AE36" s="561"/>
      <c r="AF36" s="561">
        <f t="shared" si="2"/>
        <v>28.256886099999999</v>
      </c>
      <c r="AG36" s="565"/>
      <c r="AH36"/>
      <c r="AI36"/>
      <c r="AJ36"/>
      <c r="AK36"/>
    </row>
    <row r="37" spans="1:37" s="9" customFormat="1" x14ac:dyDescent="0.3">
      <c r="A37" s="448"/>
      <c r="B37" s="282" t="s">
        <v>116</v>
      </c>
      <c r="C37" s="297" t="s">
        <v>719</v>
      </c>
      <c r="D37" s="314" t="str">
        <f t="shared" si="0"/>
        <v>Toutes les femmes</v>
      </c>
      <c r="E37" s="297" t="s">
        <v>798</v>
      </c>
      <c r="F37" s="297">
        <v>2017</v>
      </c>
      <c r="G37" s="297">
        <v>3.44</v>
      </c>
      <c r="H37" s="297">
        <v>0.02</v>
      </c>
      <c r="I37" s="297">
        <v>1.6</v>
      </c>
      <c r="J37" s="297">
        <v>1.08</v>
      </c>
      <c r="K37" s="297">
        <v>9.7799999999999994</v>
      </c>
      <c r="L37" s="297">
        <v>21.29</v>
      </c>
      <c r="M37" s="297">
        <v>1.1399999999999999</v>
      </c>
      <c r="N37" s="297">
        <v>0.06</v>
      </c>
      <c r="O37" s="297">
        <v>0</v>
      </c>
      <c r="P37" s="297">
        <v>0</v>
      </c>
      <c r="Q37" s="297">
        <f t="shared" si="1"/>
        <v>0.01</v>
      </c>
      <c r="R37"/>
      <c r="S37" s="297">
        <v>0</v>
      </c>
      <c r="T37" s="297">
        <v>0.01</v>
      </c>
      <c r="U37" s="297">
        <v>0</v>
      </c>
      <c r="V37" s="297">
        <v>0</v>
      </c>
      <c r="W37" s="297">
        <v>0</v>
      </c>
      <c r="X37" s="299"/>
      <c r="Y37" s="299"/>
      <c r="Z37" s="300"/>
      <c r="AA37" s="299"/>
      <c r="AB37" s="300"/>
      <c r="AC37" s="300"/>
      <c r="AD37" s="301"/>
      <c r="AE37" s="289"/>
      <c r="AF37" s="302">
        <f t="shared" si="2"/>
        <v>38.42</v>
      </c>
      <c r="AH37"/>
      <c r="AI37"/>
      <c r="AJ37"/>
      <c r="AK37"/>
    </row>
    <row r="38" spans="1:37" s="9" customFormat="1" x14ac:dyDescent="0.3">
      <c r="A38" s="448"/>
      <c r="B38" s="282" t="s">
        <v>73</v>
      </c>
      <c r="C38" s="297" t="s">
        <v>719</v>
      </c>
      <c r="D38" s="314" t="str">
        <f t="shared" si="0"/>
        <v>Toutes les femmes</v>
      </c>
      <c r="E38" s="297" t="s">
        <v>762</v>
      </c>
      <c r="F38" s="297">
        <v>2014</v>
      </c>
      <c r="G38" s="297">
        <v>1.1000000000000001</v>
      </c>
      <c r="H38" s="297">
        <v>0</v>
      </c>
      <c r="I38" s="297">
        <v>1</v>
      </c>
      <c r="J38" s="297">
        <v>1.2</v>
      </c>
      <c r="K38" s="297">
        <v>16.899999999999999</v>
      </c>
      <c r="L38" s="297">
        <v>9.1</v>
      </c>
      <c r="M38" s="297">
        <v>19</v>
      </c>
      <c r="N38" s="297">
        <v>0.2</v>
      </c>
      <c r="O38" s="297">
        <v>0</v>
      </c>
      <c r="P38" s="297">
        <v>0</v>
      </c>
      <c r="Q38" s="297">
        <f t="shared" si="1"/>
        <v>0</v>
      </c>
      <c r="R38"/>
      <c r="S38" s="297">
        <v>0</v>
      </c>
      <c r="T38" s="297">
        <v>0</v>
      </c>
      <c r="U38" s="297">
        <v>0</v>
      </c>
      <c r="V38" s="297">
        <v>0</v>
      </c>
      <c r="W38" s="297">
        <v>0</v>
      </c>
      <c r="X38" s="299"/>
      <c r="Y38" s="299"/>
      <c r="Z38" s="300"/>
      <c r="AA38" s="299"/>
      <c r="AB38" s="300"/>
      <c r="AC38" s="300"/>
      <c r="AD38" s="301"/>
      <c r="AE38" s="289"/>
      <c r="AF38" s="302">
        <f t="shared" si="2"/>
        <v>48.5</v>
      </c>
      <c r="AH38"/>
      <c r="AI38"/>
      <c r="AJ38"/>
      <c r="AK38"/>
    </row>
    <row r="39" spans="1:37" s="9" customFormat="1" x14ac:dyDescent="0.3">
      <c r="A39" s="559">
        <v>43922</v>
      </c>
      <c r="B39" s="560" t="s">
        <v>74</v>
      </c>
      <c r="C39" s="561" t="s">
        <v>719</v>
      </c>
      <c r="D39" s="562" t="str">
        <f t="shared" si="0"/>
        <v>Toutes les femmes</v>
      </c>
      <c r="E39" s="561" t="s">
        <v>892</v>
      </c>
      <c r="F39" s="561">
        <v>2016</v>
      </c>
      <c r="G39" s="561">
        <v>0.9</v>
      </c>
      <c r="H39" s="561">
        <v>0</v>
      </c>
      <c r="I39" s="561">
        <v>0.3</v>
      </c>
      <c r="J39" s="561">
        <v>3.5</v>
      </c>
      <c r="K39" s="561">
        <v>18.899999999999999</v>
      </c>
      <c r="L39" s="561">
        <v>4.9000000000000004</v>
      </c>
      <c r="M39" s="561">
        <v>1.3</v>
      </c>
      <c r="N39" s="561">
        <v>0</v>
      </c>
      <c r="O39" s="561">
        <v>0.1</v>
      </c>
      <c r="P39" s="561">
        <v>0.7</v>
      </c>
      <c r="Q39" s="561">
        <f t="shared" si="1"/>
        <v>0.30000000000000004</v>
      </c>
      <c r="R39"/>
      <c r="S39" s="561">
        <v>0</v>
      </c>
      <c r="T39" s="561">
        <v>0</v>
      </c>
      <c r="U39" s="561">
        <v>0</v>
      </c>
      <c r="V39" s="561">
        <v>0.1</v>
      </c>
      <c r="W39" s="561">
        <v>0.2</v>
      </c>
      <c r="X39" s="563"/>
      <c r="Y39" s="563"/>
      <c r="Z39" s="564"/>
      <c r="AA39" s="563"/>
      <c r="AB39" s="564"/>
      <c r="AC39" s="564"/>
      <c r="AD39" s="563"/>
      <c r="AE39" s="561"/>
      <c r="AF39" s="561">
        <f t="shared" si="2"/>
        <v>30.900000000000002</v>
      </c>
      <c r="AG39" s="565"/>
      <c r="AH39"/>
      <c r="AI39"/>
      <c r="AJ39"/>
      <c r="AK39"/>
    </row>
    <row r="40" spans="1:37" s="9" customFormat="1" x14ac:dyDescent="0.3">
      <c r="A40" s="559">
        <v>43922</v>
      </c>
      <c r="B40" s="560" t="s">
        <v>75</v>
      </c>
      <c r="C40" s="561" t="s">
        <v>719</v>
      </c>
      <c r="D40" s="562" t="str">
        <f t="shared" si="0"/>
        <v>Toutes les femmes</v>
      </c>
      <c r="E40" s="561" t="s">
        <v>870</v>
      </c>
      <c r="F40" s="561">
        <v>2018</v>
      </c>
      <c r="G40" s="561">
        <v>0.36470799999999998</v>
      </c>
      <c r="H40" s="561">
        <v>5.4246000000000003E-2</v>
      </c>
      <c r="I40" s="561">
        <v>0.86372099999999996</v>
      </c>
      <c r="J40" s="561">
        <v>5.4086720000000001</v>
      </c>
      <c r="K40" s="561">
        <v>21.830545000000001</v>
      </c>
      <c r="L40" s="561">
        <v>3.5519469999999997</v>
      </c>
      <c r="M40" s="561">
        <v>0.33265500000000003</v>
      </c>
      <c r="N40" s="561">
        <v>2.2367999999999999E-2</v>
      </c>
      <c r="O40" s="561">
        <v>0.64596699999999996</v>
      </c>
      <c r="P40" s="561">
        <v>0</v>
      </c>
      <c r="Q40" s="561">
        <f t="shared" si="1"/>
        <v>0.13614800000000002</v>
      </c>
      <c r="R40"/>
      <c r="S40" s="561">
        <v>6.807400000000001E-2</v>
      </c>
      <c r="T40" s="561">
        <v>5.6661000000000003E-2</v>
      </c>
      <c r="U40" s="561">
        <v>1.1413000000000001E-2</v>
      </c>
      <c r="V40" s="561">
        <v>0</v>
      </c>
      <c r="W40" s="561">
        <v>0</v>
      </c>
      <c r="X40" s="563"/>
      <c r="Y40" s="563"/>
      <c r="Z40" s="564"/>
      <c r="AA40" s="563"/>
      <c r="AB40" s="564"/>
      <c r="AC40" s="564"/>
      <c r="AD40" s="563"/>
      <c r="AE40" s="561"/>
      <c r="AF40" s="561">
        <f t="shared" si="2"/>
        <v>33.210977</v>
      </c>
      <c r="AG40" s="565"/>
      <c r="AH40"/>
      <c r="AI40"/>
      <c r="AJ40"/>
      <c r="AK40"/>
    </row>
    <row r="41" spans="1:37" s="9" customFormat="1" x14ac:dyDescent="0.3">
      <c r="A41" s="448"/>
      <c r="B41" s="282" t="s">
        <v>37</v>
      </c>
      <c r="C41" s="297" t="s">
        <v>719</v>
      </c>
      <c r="D41" s="314" t="str">
        <f t="shared" si="0"/>
        <v>Toutes les femmes</v>
      </c>
      <c r="E41" s="297" t="s">
        <v>769</v>
      </c>
      <c r="F41" s="297">
        <v>2016</v>
      </c>
      <c r="G41" s="297">
        <v>8.3000000000000007</v>
      </c>
      <c r="H41" s="297">
        <v>0.1</v>
      </c>
      <c r="I41" s="297">
        <v>0.8</v>
      </c>
      <c r="J41" s="297">
        <v>9</v>
      </c>
      <c r="K41" s="297">
        <v>22.5</v>
      </c>
      <c r="L41" s="297">
        <v>1.7</v>
      </c>
      <c r="M41" s="297">
        <v>2.6</v>
      </c>
      <c r="N41" s="297">
        <v>0</v>
      </c>
      <c r="O41" s="297">
        <v>0</v>
      </c>
      <c r="P41" s="297">
        <v>0</v>
      </c>
      <c r="Q41" s="297">
        <f t="shared" si="1"/>
        <v>0.2</v>
      </c>
      <c r="R41"/>
      <c r="S41" s="297">
        <v>0</v>
      </c>
      <c r="T41" s="297">
        <v>0</v>
      </c>
      <c r="U41" s="297">
        <v>0</v>
      </c>
      <c r="V41" s="297">
        <v>0</v>
      </c>
      <c r="W41" s="297">
        <v>0.2</v>
      </c>
      <c r="X41" s="299"/>
      <c r="Y41" s="299"/>
      <c r="Z41" s="300"/>
      <c r="AA41" s="299"/>
      <c r="AB41" s="300"/>
      <c r="AC41" s="300"/>
      <c r="AD41" s="301"/>
      <c r="AE41" s="289"/>
      <c r="AF41" s="302">
        <f t="shared" si="2"/>
        <v>45.20000000000001</v>
      </c>
      <c r="AH41"/>
      <c r="AI41"/>
      <c r="AJ41"/>
      <c r="AK41"/>
    </row>
    <row r="42" spans="1:37" s="9" customFormat="1" x14ac:dyDescent="0.3">
      <c r="A42" s="559">
        <v>43922</v>
      </c>
      <c r="B42" s="560" t="s">
        <v>76</v>
      </c>
      <c r="C42" s="561" t="s">
        <v>719</v>
      </c>
      <c r="D42" s="562" t="str">
        <f t="shared" si="0"/>
        <v>Toutes les femmes</v>
      </c>
      <c r="E42" s="561" t="s">
        <v>879</v>
      </c>
      <c r="F42" s="561">
        <v>2018</v>
      </c>
      <c r="G42" s="561">
        <v>0.3</v>
      </c>
      <c r="H42" s="561">
        <v>0</v>
      </c>
      <c r="I42" s="561">
        <v>0.9</v>
      </c>
      <c r="J42" s="561">
        <v>6.8</v>
      </c>
      <c r="K42" s="561">
        <v>5.2</v>
      </c>
      <c r="L42" s="561">
        <v>1.9</v>
      </c>
      <c r="M42" s="561">
        <v>0.1</v>
      </c>
      <c r="N42" s="561">
        <v>0</v>
      </c>
      <c r="O42" s="561">
        <v>0.1</v>
      </c>
      <c r="P42" s="561">
        <v>0</v>
      </c>
      <c r="Q42" s="561">
        <f t="shared" si="1"/>
        <v>0</v>
      </c>
      <c r="R42"/>
      <c r="S42" s="561">
        <v>0</v>
      </c>
      <c r="T42" s="561">
        <v>0</v>
      </c>
      <c r="U42" s="561">
        <v>0</v>
      </c>
      <c r="V42" s="561">
        <v>0</v>
      </c>
      <c r="W42" s="561">
        <v>0</v>
      </c>
      <c r="X42" s="563"/>
      <c r="Y42" s="563"/>
      <c r="Z42" s="564"/>
      <c r="AA42" s="563"/>
      <c r="AB42" s="564"/>
      <c r="AC42" s="564"/>
      <c r="AD42" s="563"/>
      <c r="AE42" s="561"/>
      <c r="AF42" s="561">
        <f t="shared" si="2"/>
        <v>15.299999999999999</v>
      </c>
      <c r="AG42" s="565"/>
      <c r="AH42"/>
      <c r="AI42"/>
      <c r="AJ42"/>
      <c r="AK42"/>
    </row>
    <row r="43" spans="1:37" s="9" customFormat="1" x14ac:dyDescent="0.3">
      <c r="A43" s="448"/>
      <c r="B43" s="282" t="s">
        <v>77</v>
      </c>
      <c r="C43" s="297" t="s">
        <v>719</v>
      </c>
      <c r="D43" s="314" t="str">
        <f t="shared" si="0"/>
        <v>Toutes les femmes</v>
      </c>
      <c r="E43" s="297" t="s">
        <v>770</v>
      </c>
      <c r="F43" s="297">
        <v>2015</v>
      </c>
      <c r="G43" s="297">
        <v>0.09</v>
      </c>
      <c r="H43" s="297">
        <v>0.01</v>
      </c>
      <c r="I43" s="297">
        <v>0.16</v>
      </c>
      <c r="J43" s="297">
        <v>0.55000000000000004</v>
      </c>
      <c r="K43" s="297">
        <v>2.4500000000000002</v>
      </c>
      <c r="L43" s="297">
        <v>6.99</v>
      </c>
      <c r="M43" s="297">
        <v>0.14000000000000001</v>
      </c>
      <c r="N43" s="297">
        <v>0</v>
      </c>
      <c r="O43" s="297">
        <v>0</v>
      </c>
      <c r="P43" s="297">
        <v>0</v>
      </c>
      <c r="Q43" s="297">
        <f t="shared" si="1"/>
        <v>0</v>
      </c>
      <c r="R43"/>
      <c r="S43" s="297">
        <v>0</v>
      </c>
      <c r="T43" s="297">
        <v>0</v>
      </c>
      <c r="U43" s="297">
        <v>0</v>
      </c>
      <c r="V43" s="297">
        <v>0</v>
      </c>
      <c r="W43" s="297">
        <v>0</v>
      </c>
      <c r="X43" s="299"/>
      <c r="Y43" s="299"/>
      <c r="Z43" s="300"/>
      <c r="AA43" s="299"/>
      <c r="AB43" s="300"/>
      <c r="AC43" s="300"/>
      <c r="AD43" s="301"/>
      <c r="AE43" s="289"/>
      <c r="AF43" s="302">
        <f t="shared" si="2"/>
        <v>10.39</v>
      </c>
      <c r="AH43"/>
      <c r="AI43"/>
      <c r="AJ43"/>
      <c r="AK43"/>
    </row>
    <row r="44" spans="1:37" s="9" customFormat="1" x14ac:dyDescent="0.3">
      <c r="A44" s="559">
        <v>43922</v>
      </c>
      <c r="B44" s="560" t="s">
        <v>78</v>
      </c>
      <c r="C44" s="561" t="s">
        <v>719</v>
      </c>
      <c r="D44" s="562" t="str">
        <f t="shared" si="0"/>
        <v>Toutes les femmes</v>
      </c>
      <c r="E44" s="561" t="s">
        <v>870</v>
      </c>
      <c r="F44" s="561">
        <v>2018</v>
      </c>
      <c r="G44" s="561">
        <v>2.1279213000000001</v>
      </c>
      <c r="H44" s="561">
        <v>8.3538299999999996E-2</v>
      </c>
      <c r="I44" s="561">
        <v>21.119547399999998</v>
      </c>
      <c r="J44" s="561">
        <v>1.7298932</v>
      </c>
      <c r="K44" s="561">
        <v>1.7161632</v>
      </c>
      <c r="L44" s="561">
        <v>5.7145108999999996</v>
      </c>
      <c r="M44" s="561">
        <v>3.7043212999999997</v>
      </c>
      <c r="N44" s="561">
        <v>0.33472599999999997</v>
      </c>
      <c r="O44" s="561">
        <v>6.2967499999999996E-2</v>
      </c>
      <c r="P44" s="561">
        <v>0</v>
      </c>
      <c r="Q44" s="561">
        <f t="shared" si="1"/>
        <v>5.7204000000000005E-3</v>
      </c>
      <c r="R44"/>
      <c r="S44" s="561">
        <v>2.8602000000000002E-3</v>
      </c>
      <c r="T44" s="561">
        <v>2.8602000000000002E-3</v>
      </c>
      <c r="U44" s="561">
        <v>0</v>
      </c>
      <c r="V44" s="561">
        <v>0</v>
      </c>
      <c r="W44" s="561">
        <v>0</v>
      </c>
      <c r="X44" s="563"/>
      <c r="Y44" s="563"/>
      <c r="Z44" s="564"/>
      <c r="AA44" s="563"/>
      <c r="AB44" s="564"/>
      <c r="AC44" s="564"/>
      <c r="AD44" s="563"/>
      <c r="AE44" s="561"/>
      <c r="AF44" s="561">
        <f t="shared" si="2"/>
        <v>36.599309499999997</v>
      </c>
      <c r="AG44" s="565"/>
      <c r="AH44"/>
      <c r="AI44"/>
      <c r="AJ44"/>
      <c r="AK44"/>
    </row>
    <row r="45" spans="1:37" s="9" customFormat="1" x14ac:dyDescent="0.3">
      <c r="A45" s="559">
        <v>43922</v>
      </c>
      <c r="B45" s="560" t="s">
        <v>38</v>
      </c>
      <c r="C45" s="561" t="s">
        <v>719</v>
      </c>
      <c r="D45" s="562" t="str">
        <f t="shared" si="0"/>
        <v>Toutes les femmes</v>
      </c>
      <c r="E45" s="561" t="s">
        <v>893</v>
      </c>
      <c r="F45" s="561">
        <v>2015</v>
      </c>
      <c r="G45" s="561">
        <v>0.2</v>
      </c>
      <c r="H45" s="561">
        <v>0</v>
      </c>
      <c r="I45" s="561">
        <v>0.7</v>
      </c>
      <c r="J45" s="561">
        <v>1.7</v>
      </c>
      <c r="K45" s="561">
        <v>11.7</v>
      </c>
      <c r="L45" s="561">
        <v>6.3</v>
      </c>
      <c r="M45" s="561">
        <v>4</v>
      </c>
      <c r="N45" s="561">
        <v>0.1</v>
      </c>
      <c r="O45" s="561">
        <v>1</v>
      </c>
      <c r="P45" s="561">
        <v>0</v>
      </c>
      <c r="Q45" s="561">
        <f t="shared" si="1"/>
        <v>0.1</v>
      </c>
      <c r="R45"/>
      <c r="S45" s="561">
        <v>0</v>
      </c>
      <c r="T45" s="561">
        <v>0</v>
      </c>
      <c r="U45" s="561">
        <v>0</v>
      </c>
      <c r="V45" s="561">
        <v>0</v>
      </c>
      <c r="W45" s="561">
        <v>0.1</v>
      </c>
      <c r="X45" s="563"/>
      <c r="Y45" s="563"/>
      <c r="Z45" s="564"/>
      <c r="AA45" s="563"/>
      <c r="AB45" s="564"/>
      <c r="AC45" s="564"/>
      <c r="AD45" s="563"/>
      <c r="AE45" s="561"/>
      <c r="AF45" s="561">
        <f t="shared" si="2"/>
        <v>25.8</v>
      </c>
      <c r="AG45" s="565"/>
      <c r="AH45"/>
      <c r="AI45"/>
      <c r="AJ45"/>
      <c r="AK45"/>
    </row>
    <row r="46" spans="1:37" s="9" customFormat="1" x14ac:dyDescent="0.3">
      <c r="A46" s="448"/>
      <c r="B46" s="282" t="s">
        <v>79</v>
      </c>
      <c r="C46" s="297" t="s">
        <v>719</v>
      </c>
      <c r="D46" s="314" t="str">
        <f t="shared" si="0"/>
        <v>Toutes les femmes</v>
      </c>
      <c r="E46" s="297" t="s">
        <v>829</v>
      </c>
      <c r="F46" s="297">
        <v>2015.5</v>
      </c>
      <c r="G46" s="297">
        <v>2.9</v>
      </c>
      <c r="H46" s="297">
        <v>0.2</v>
      </c>
      <c r="I46" s="297">
        <v>1.7</v>
      </c>
      <c r="J46" s="297">
        <v>0.6</v>
      </c>
      <c r="K46" s="297">
        <v>16.7</v>
      </c>
      <c r="L46" s="297">
        <v>8.3000000000000007</v>
      </c>
      <c r="M46" s="297">
        <v>0.6</v>
      </c>
      <c r="N46" s="297">
        <v>0</v>
      </c>
      <c r="O46" s="297">
        <v>0</v>
      </c>
      <c r="P46" s="297">
        <v>0</v>
      </c>
      <c r="Q46" s="297">
        <f t="shared" si="1"/>
        <v>0.1</v>
      </c>
      <c r="R46"/>
      <c r="S46" s="297">
        <v>0</v>
      </c>
      <c r="T46" s="297">
        <v>0</v>
      </c>
      <c r="U46" s="297">
        <v>0</v>
      </c>
      <c r="V46" s="297">
        <v>0</v>
      </c>
      <c r="W46" s="297">
        <v>0.1</v>
      </c>
      <c r="X46" s="299"/>
      <c r="Y46" s="299"/>
      <c r="Z46" s="300"/>
      <c r="AA46" s="299"/>
      <c r="AB46" s="300"/>
      <c r="AC46" s="300"/>
      <c r="AD46" s="301"/>
      <c r="AE46" s="289"/>
      <c r="AF46" s="302">
        <f t="shared" si="2"/>
        <v>31.1</v>
      </c>
      <c r="AH46"/>
      <c r="AI46"/>
      <c r="AJ46"/>
      <c r="AK46"/>
    </row>
    <row r="47" spans="1:37" s="9" customFormat="1" x14ac:dyDescent="0.3">
      <c r="A47" s="448"/>
      <c r="B47" s="282" t="s">
        <v>80</v>
      </c>
      <c r="C47" s="297" t="s">
        <v>719</v>
      </c>
      <c r="D47" s="314" t="str">
        <f t="shared" si="0"/>
        <v>Toutes les femmes</v>
      </c>
      <c r="E47" s="297" t="s">
        <v>769</v>
      </c>
      <c r="F47" s="297">
        <v>2016</v>
      </c>
      <c r="G47" s="297">
        <v>11.6</v>
      </c>
      <c r="H47" s="297">
        <v>4.2</v>
      </c>
      <c r="I47" s="297">
        <v>1.1000000000000001</v>
      </c>
      <c r="J47" s="297">
        <v>2.6</v>
      </c>
      <c r="K47" s="297">
        <v>6.9</v>
      </c>
      <c r="L47" s="297">
        <v>3.5</v>
      </c>
      <c r="M47" s="297">
        <v>3.3</v>
      </c>
      <c r="N47" s="297">
        <v>0</v>
      </c>
      <c r="O47" s="297">
        <v>0</v>
      </c>
      <c r="P47" s="297">
        <v>0</v>
      </c>
      <c r="Q47" s="297">
        <f t="shared" si="1"/>
        <v>0</v>
      </c>
      <c r="R47"/>
      <c r="S47" s="297">
        <v>0</v>
      </c>
      <c r="T47" s="297">
        <v>0</v>
      </c>
      <c r="U47" s="297">
        <v>0</v>
      </c>
      <c r="V47" s="297">
        <v>0</v>
      </c>
      <c r="W47" s="297">
        <v>0</v>
      </c>
      <c r="X47" s="299"/>
      <c r="Y47" s="299"/>
      <c r="Z47" s="300"/>
      <c r="AA47" s="299"/>
      <c r="AB47" s="300"/>
      <c r="AC47" s="300"/>
      <c r="AD47" s="301"/>
      <c r="AE47" s="289"/>
      <c r="AF47" s="302">
        <f t="shared" si="2"/>
        <v>33.200000000000003</v>
      </c>
      <c r="AH47"/>
      <c r="AI47"/>
      <c r="AJ47"/>
      <c r="AK47"/>
    </row>
    <row r="48" spans="1:37" s="9" customFormat="1" x14ac:dyDescent="0.3">
      <c r="A48" s="448"/>
      <c r="B48" s="282" t="s">
        <v>81</v>
      </c>
      <c r="C48" s="297" t="s">
        <v>718</v>
      </c>
      <c r="D48" s="314" t="str">
        <f t="shared" si="0"/>
        <v>Femmes mariées</v>
      </c>
      <c r="E48" s="297" t="s">
        <v>771</v>
      </c>
      <c r="F48" s="297">
        <v>2011.5</v>
      </c>
      <c r="G48" s="297">
        <v>29.8</v>
      </c>
      <c r="H48" s="297">
        <v>0.4</v>
      </c>
      <c r="I48" s="297">
        <v>3.5</v>
      </c>
      <c r="J48" s="297">
        <v>0</v>
      </c>
      <c r="K48" s="297">
        <v>26</v>
      </c>
      <c r="L48" s="297">
        <v>11.3</v>
      </c>
      <c r="M48" s="297">
        <v>5.4</v>
      </c>
      <c r="N48" s="297">
        <v>0</v>
      </c>
      <c r="O48" s="297">
        <v>0</v>
      </c>
      <c r="P48" s="297">
        <v>0</v>
      </c>
      <c r="Q48" s="297">
        <f t="shared" si="1"/>
        <v>0.2</v>
      </c>
      <c r="R48"/>
      <c r="S48" s="297">
        <v>0</v>
      </c>
      <c r="T48" s="297">
        <v>0</v>
      </c>
      <c r="U48" s="297">
        <v>0</v>
      </c>
      <c r="V48" s="297">
        <v>0</v>
      </c>
      <c r="W48" s="297">
        <v>0.2</v>
      </c>
      <c r="X48" s="299"/>
      <c r="Y48" s="299"/>
      <c r="Z48" s="300"/>
      <c r="AA48" s="299"/>
      <c r="AB48" s="300"/>
      <c r="AC48" s="300"/>
      <c r="AD48" s="301"/>
      <c r="AE48" s="289"/>
      <c r="AF48" s="302">
        <f t="shared" si="2"/>
        <v>76.600000000000009</v>
      </c>
      <c r="AH48"/>
      <c r="AI48"/>
      <c r="AJ48"/>
      <c r="AK48"/>
    </row>
    <row r="49" spans="1:37" s="9" customFormat="1" x14ac:dyDescent="0.3">
      <c r="A49" s="559">
        <v>43922</v>
      </c>
      <c r="B49" s="560" t="s">
        <v>39</v>
      </c>
      <c r="C49" s="561" t="s">
        <v>719</v>
      </c>
      <c r="D49" s="562" t="str">
        <f t="shared" si="0"/>
        <v>Toutes les femmes</v>
      </c>
      <c r="E49" s="561" t="s">
        <v>894</v>
      </c>
      <c r="F49" s="561">
        <v>2017</v>
      </c>
      <c r="G49" s="561">
        <v>0.09</v>
      </c>
      <c r="H49" s="561">
        <v>0</v>
      </c>
      <c r="I49" s="561">
        <v>0.15</v>
      </c>
      <c r="J49" s="561">
        <v>2.625</v>
      </c>
      <c r="K49" s="561">
        <v>5.94</v>
      </c>
      <c r="L49" s="561">
        <v>6.06</v>
      </c>
      <c r="M49" s="561">
        <v>0.09</v>
      </c>
      <c r="N49" s="561">
        <v>0</v>
      </c>
      <c r="O49" s="561">
        <v>0</v>
      </c>
      <c r="P49" s="561">
        <v>0</v>
      </c>
      <c r="Q49" s="561">
        <f t="shared" si="1"/>
        <v>4.4999999999999998E-2</v>
      </c>
      <c r="R49"/>
      <c r="S49" s="561"/>
      <c r="T49" s="561">
        <v>0</v>
      </c>
      <c r="U49" s="561">
        <v>0</v>
      </c>
      <c r="V49" s="561">
        <v>1.4999999999999999E-2</v>
      </c>
      <c r="W49" s="561">
        <v>0.03</v>
      </c>
      <c r="X49" s="563"/>
      <c r="Y49" s="563"/>
      <c r="Z49" s="564"/>
      <c r="AA49" s="563"/>
      <c r="AB49" s="564"/>
      <c r="AC49" s="564"/>
      <c r="AD49" s="563"/>
      <c r="AE49" s="561"/>
      <c r="AF49" s="561">
        <f t="shared" si="2"/>
        <v>14.999999999999998</v>
      </c>
      <c r="AG49" s="565"/>
      <c r="AH49"/>
      <c r="AI49"/>
      <c r="AJ49"/>
      <c r="AK49"/>
    </row>
    <row r="50" spans="1:37" s="9" customFormat="1" x14ac:dyDescent="0.3">
      <c r="A50" s="559">
        <v>43922</v>
      </c>
      <c r="B50" s="560" t="s">
        <v>40</v>
      </c>
      <c r="C50" s="561" t="s">
        <v>719</v>
      </c>
      <c r="D50" s="562" t="str">
        <f t="shared" si="0"/>
        <v>Toutes les femmes</v>
      </c>
      <c r="E50" s="561" t="s">
        <v>879</v>
      </c>
      <c r="F50" s="561">
        <v>2017</v>
      </c>
      <c r="G50" s="561">
        <v>0.2</v>
      </c>
      <c r="H50" s="561">
        <v>0</v>
      </c>
      <c r="I50" s="561">
        <v>0.6</v>
      </c>
      <c r="J50" s="561">
        <v>2.5</v>
      </c>
      <c r="K50" s="561">
        <v>2.4</v>
      </c>
      <c r="L50" s="561">
        <v>1.2</v>
      </c>
      <c r="M50" s="561">
        <v>2.5</v>
      </c>
      <c r="N50" s="561">
        <v>0</v>
      </c>
      <c r="O50" s="561">
        <v>0.8</v>
      </c>
      <c r="P50" s="561">
        <v>0</v>
      </c>
      <c r="Q50" s="561">
        <f t="shared" si="1"/>
        <v>0.30000000000000004</v>
      </c>
      <c r="R50"/>
      <c r="S50" s="561">
        <v>0</v>
      </c>
      <c r="T50" s="561">
        <v>0</v>
      </c>
      <c r="U50" s="561">
        <v>0</v>
      </c>
      <c r="V50" s="561">
        <v>0.2</v>
      </c>
      <c r="W50" s="561">
        <v>0.1</v>
      </c>
      <c r="X50" s="563"/>
      <c r="Y50" s="563"/>
      <c r="Z50" s="564"/>
      <c r="AA50" s="563"/>
      <c r="AB50" s="564"/>
      <c r="AC50" s="564"/>
      <c r="AD50" s="563"/>
      <c r="AE50" s="561"/>
      <c r="AF50" s="561">
        <f t="shared" si="2"/>
        <v>10.5</v>
      </c>
      <c r="AG50" s="565"/>
      <c r="AH50"/>
      <c r="AI50"/>
      <c r="AJ50"/>
      <c r="AK50"/>
    </row>
    <row r="51" spans="1:37" s="9" customFormat="1" x14ac:dyDescent="0.3">
      <c r="A51" s="448"/>
      <c r="B51" s="282" t="s">
        <v>41</v>
      </c>
      <c r="C51" s="297" t="s">
        <v>718</v>
      </c>
      <c r="D51" s="314" t="str">
        <f t="shared" si="0"/>
        <v>Femmes mariées</v>
      </c>
      <c r="E51" s="297" t="s">
        <v>800</v>
      </c>
      <c r="F51" s="297">
        <v>2017</v>
      </c>
      <c r="G51" s="297">
        <v>8.8000000000000007</v>
      </c>
      <c r="H51" s="297">
        <v>0.1</v>
      </c>
      <c r="I51" s="297">
        <v>2.1</v>
      </c>
      <c r="J51" s="297">
        <v>0.4</v>
      </c>
      <c r="K51" s="297">
        <v>2.5</v>
      </c>
      <c r="L51" s="297">
        <v>1.7</v>
      </c>
      <c r="M51" s="297">
        <v>9.1999999999999993</v>
      </c>
      <c r="N51" s="297">
        <v>0</v>
      </c>
      <c r="O51" s="297">
        <v>0.2</v>
      </c>
      <c r="P51" s="297">
        <v>0</v>
      </c>
      <c r="Q51" s="297">
        <f t="shared" si="1"/>
        <v>0</v>
      </c>
      <c r="R51"/>
      <c r="S51" s="297">
        <v>0</v>
      </c>
      <c r="T51" s="297">
        <v>0</v>
      </c>
      <c r="U51" s="297">
        <v>0</v>
      </c>
      <c r="V51" s="297">
        <v>0</v>
      </c>
      <c r="W51" s="297">
        <v>0</v>
      </c>
      <c r="X51" s="299"/>
      <c r="Y51" s="299"/>
      <c r="Z51" s="300"/>
      <c r="AA51" s="299"/>
      <c r="AB51" s="300"/>
      <c r="AC51" s="300"/>
      <c r="AD51" s="301"/>
      <c r="AE51" s="290"/>
      <c r="AF51" s="302">
        <f t="shared" si="2"/>
        <v>24.999999999999996</v>
      </c>
      <c r="AH51"/>
      <c r="AI51"/>
      <c r="AJ51"/>
      <c r="AK51"/>
    </row>
    <row r="52" spans="1:37" x14ac:dyDescent="0.3">
      <c r="A52" s="559">
        <v>43922</v>
      </c>
      <c r="B52" s="560" t="s">
        <v>82</v>
      </c>
      <c r="C52" s="561" t="s">
        <v>719</v>
      </c>
      <c r="D52" s="562" t="str">
        <f t="shared" si="0"/>
        <v>Toutes les femmes</v>
      </c>
      <c r="E52" s="561" t="s">
        <v>880</v>
      </c>
      <c r="F52" s="561">
        <v>2017</v>
      </c>
      <c r="G52" s="561">
        <v>5.8</v>
      </c>
      <c r="H52" s="561">
        <v>0.6</v>
      </c>
      <c r="I52" s="561">
        <v>0.5</v>
      </c>
      <c r="J52" s="561">
        <v>6.7</v>
      </c>
      <c r="K52" s="561">
        <v>6.4</v>
      </c>
      <c r="L52" s="561">
        <v>1.7</v>
      </c>
      <c r="M52" s="561">
        <v>0.6</v>
      </c>
      <c r="N52" s="561">
        <v>0.2</v>
      </c>
      <c r="O52" s="561">
        <v>0</v>
      </c>
      <c r="P52" s="561">
        <v>0</v>
      </c>
      <c r="Q52" s="561">
        <f t="shared" si="1"/>
        <v>0</v>
      </c>
      <c r="S52" s="561">
        <v>0</v>
      </c>
      <c r="T52" s="561">
        <v>0</v>
      </c>
      <c r="U52" s="561">
        <v>0</v>
      </c>
      <c r="V52" s="561">
        <v>0</v>
      </c>
      <c r="W52" s="561">
        <v>0</v>
      </c>
      <c r="X52" s="563"/>
      <c r="Y52" s="563"/>
      <c r="Z52" s="564"/>
      <c r="AA52" s="563"/>
      <c r="AB52" s="564"/>
      <c r="AC52" s="564"/>
      <c r="AD52" s="563"/>
      <c r="AE52" s="561"/>
      <c r="AF52" s="561">
        <f t="shared" si="2"/>
        <v>22.5</v>
      </c>
      <c r="AG52" s="565"/>
    </row>
    <row r="53" spans="1:37" s="9" customFormat="1" x14ac:dyDescent="0.3">
      <c r="A53" s="448"/>
      <c r="B53" s="282" t="s">
        <v>42</v>
      </c>
      <c r="C53" s="297" t="s">
        <v>719</v>
      </c>
      <c r="D53" s="314" t="str">
        <f t="shared" si="0"/>
        <v>Toutes les femmes</v>
      </c>
      <c r="E53" s="297" t="s">
        <v>800</v>
      </c>
      <c r="F53" s="297">
        <v>2017</v>
      </c>
      <c r="G53" s="297">
        <v>4.8</v>
      </c>
      <c r="H53" s="297">
        <v>0</v>
      </c>
      <c r="I53" s="297">
        <v>2.2000000000000002</v>
      </c>
      <c r="J53" s="297">
        <v>0.7</v>
      </c>
      <c r="K53" s="297">
        <v>3.1</v>
      </c>
      <c r="L53" s="297">
        <v>12.7</v>
      </c>
      <c r="M53" s="297">
        <v>1.1000000000000001</v>
      </c>
      <c r="N53" s="297">
        <v>0</v>
      </c>
      <c r="O53" s="297">
        <v>0.3</v>
      </c>
      <c r="P53" s="297">
        <v>0</v>
      </c>
      <c r="Q53" s="297">
        <f t="shared" si="1"/>
        <v>0</v>
      </c>
      <c r="R53"/>
      <c r="S53" s="297">
        <v>0</v>
      </c>
      <c r="T53" s="297">
        <v>0</v>
      </c>
      <c r="U53" s="297">
        <v>0</v>
      </c>
      <c r="V53" s="297">
        <v>0</v>
      </c>
      <c r="W53" s="297">
        <v>0</v>
      </c>
      <c r="X53" s="299"/>
      <c r="Y53" s="299"/>
      <c r="Z53" s="300"/>
      <c r="AA53" s="299"/>
      <c r="AB53" s="300"/>
      <c r="AC53" s="300"/>
      <c r="AD53" s="301"/>
      <c r="AE53" s="289"/>
      <c r="AF53" s="302">
        <f t="shared" si="2"/>
        <v>24.900000000000002</v>
      </c>
      <c r="AH53"/>
      <c r="AI53"/>
      <c r="AJ53"/>
      <c r="AK53"/>
    </row>
    <row r="54" spans="1:37" x14ac:dyDescent="0.3">
      <c r="B54" s="282" t="s">
        <v>43</v>
      </c>
      <c r="C54" s="297" t="s">
        <v>719</v>
      </c>
      <c r="D54" s="314" t="str">
        <f t="shared" si="0"/>
        <v>Toutes les femmes</v>
      </c>
      <c r="E54" s="297" t="s">
        <v>763</v>
      </c>
      <c r="F54" s="297">
        <v>2014.5</v>
      </c>
      <c r="G54" s="297">
        <v>0.7</v>
      </c>
      <c r="H54" s="297">
        <v>0.1</v>
      </c>
      <c r="I54" s="297">
        <v>0.7</v>
      </c>
      <c r="J54" s="297">
        <v>4.7</v>
      </c>
      <c r="K54" s="297">
        <v>14.2</v>
      </c>
      <c r="L54" s="297">
        <v>4.7</v>
      </c>
      <c r="M54" s="297">
        <v>2.2000000000000002</v>
      </c>
      <c r="N54" s="297">
        <v>0</v>
      </c>
      <c r="O54" s="297">
        <v>0.1</v>
      </c>
      <c r="P54" s="297">
        <v>0.4</v>
      </c>
      <c r="Q54" s="297">
        <f t="shared" si="1"/>
        <v>0</v>
      </c>
      <c r="S54" s="297">
        <v>0</v>
      </c>
      <c r="T54" s="297">
        <v>0</v>
      </c>
      <c r="U54" s="297">
        <v>0</v>
      </c>
      <c r="V54" s="297">
        <v>0</v>
      </c>
      <c r="W54" s="297">
        <v>0</v>
      </c>
      <c r="X54" s="299"/>
      <c r="Y54" s="299"/>
      <c r="Z54" s="299"/>
      <c r="AA54" s="299"/>
      <c r="AB54" s="299"/>
      <c r="AC54" s="299"/>
      <c r="AD54" s="301"/>
      <c r="AE54" s="289"/>
      <c r="AF54" s="302">
        <f t="shared" si="2"/>
        <v>27.799999999999997</v>
      </c>
    </row>
    <row r="55" spans="1:37" x14ac:dyDescent="0.3">
      <c r="B55" s="282" t="s">
        <v>83</v>
      </c>
      <c r="C55" s="297" t="s">
        <v>719</v>
      </c>
      <c r="D55" s="314" t="str">
        <f t="shared" si="0"/>
        <v>Toutes les femmes</v>
      </c>
      <c r="E55" s="297" t="s">
        <v>760</v>
      </c>
      <c r="F55" s="297">
        <v>2014</v>
      </c>
      <c r="G55" s="297">
        <v>0.4</v>
      </c>
      <c r="H55" s="297">
        <v>0</v>
      </c>
      <c r="I55" s="297">
        <v>1.3</v>
      </c>
      <c r="J55" s="297">
        <v>1.7</v>
      </c>
      <c r="K55" s="297">
        <v>8.4</v>
      </c>
      <c r="L55" s="297">
        <v>10.1</v>
      </c>
      <c r="M55" s="297">
        <v>7.5</v>
      </c>
      <c r="N55" s="297">
        <v>0</v>
      </c>
      <c r="O55" s="297">
        <v>0</v>
      </c>
      <c r="P55" s="297">
        <v>0</v>
      </c>
      <c r="Q55" s="297">
        <f t="shared" si="1"/>
        <v>0.7</v>
      </c>
      <c r="S55" s="297">
        <v>0</v>
      </c>
      <c r="T55" s="297">
        <v>0</v>
      </c>
      <c r="U55" s="297">
        <v>0</v>
      </c>
      <c r="V55" s="297">
        <v>0</v>
      </c>
      <c r="W55" s="297">
        <v>0.7</v>
      </c>
      <c r="X55" s="299"/>
      <c r="Y55" s="299"/>
      <c r="Z55" s="299"/>
      <c r="AA55" s="299"/>
      <c r="AB55" s="299"/>
      <c r="AC55" s="299"/>
      <c r="AD55" s="301"/>
      <c r="AE55" s="289"/>
      <c r="AF55" s="302">
        <f t="shared" si="2"/>
        <v>30.099999999999998</v>
      </c>
    </row>
    <row r="56" spans="1:37" s="9" customFormat="1" x14ac:dyDescent="0.3">
      <c r="A56" s="448"/>
      <c r="B56" s="282" t="s">
        <v>44</v>
      </c>
      <c r="C56" s="297" t="s">
        <v>719</v>
      </c>
      <c r="D56" s="314" t="str">
        <f t="shared" si="0"/>
        <v>Toutes les femmes</v>
      </c>
      <c r="E56" s="297" t="s">
        <v>800</v>
      </c>
      <c r="F56" s="297">
        <v>2017</v>
      </c>
      <c r="G56" s="297">
        <v>0.2</v>
      </c>
      <c r="H56" s="297">
        <v>0</v>
      </c>
      <c r="I56" s="297">
        <v>1.5</v>
      </c>
      <c r="J56" s="297">
        <v>5.9</v>
      </c>
      <c r="K56" s="297">
        <v>7.1</v>
      </c>
      <c r="L56" s="297">
        <v>2.9</v>
      </c>
      <c r="M56" s="297">
        <v>1.1000000000000001</v>
      </c>
      <c r="N56" s="297">
        <v>0</v>
      </c>
      <c r="O56" s="297">
        <v>0</v>
      </c>
      <c r="P56" s="297">
        <v>0.1</v>
      </c>
      <c r="Q56" s="297">
        <f t="shared" si="1"/>
        <v>0</v>
      </c>
      <c r="R56"/>
      <c r="S56" s="297">
        <v>0</v>
      </c>
      <c r="T56" s="297">
        <v>0</v>
      </c>
      <c r="U56" s="297">
        <v>0</v>
      </c>
      <c r="V56" s="297">
        <v>0</v>
      </c>
      <c r="W56" s="297">
        <v>0</v>
      </c>
      <c r="X56" s="299"/>
      <c r="Y56" s="299"/>
      <c r="Z56" s="299"/>
      <c r="AA56" s="299"/>
      <c r="AB56" s="299"/>
      <c r="AC56" s="299"/>
      <c r="AD56" s="301"/>
      <c r="AE56" s="289"/>
      <c r="AF56" s="302">
        <f t="shared" si="2"/>
        <v>18.8</v>
      </c>
      <c r="AH56"/>
      <c r="AI56"/>
      <c r="AJ56"/>
      <c r="AK56"/>
    </row>
    <row r="57" spans="1:37" s="9" customFormat="1" x14ac:dyDescent="0.3">
      <c r="A57" s="448"/>
      <c r="B57" s="282" t="s">
        <v>45</v>
      </c>
      <c r="C57" s="297" t="s">
        <v>719</v>
      </c>
      <c r="D57" s="314" t="str">
        <f t="shared" si="0"/>
        <v>Toutes les femmes</v>
      </c>
      <c r="E57" s="297" t="s">
        <v>798</v>
      </c>
      <c r="F57" s="297">
        <v>2017</v>
      </c>
      <c r="G57" s="297">
        <v>0.09</v>
      </c>
      <c r="H57" s="297">
        <v>0</v>
      </c>
      <c r="I57" s="297">
        <v>0.17</v>
      </c>
      <c r="J57" s="297">
        <v>5.2</v>
      </c>
      <c r="K57" s="297">
        <v>12.78</v>
      </c>
      <c r="L57" s="297">
        <v>7.07</v>
      </c>
      <c r="M57" s="297">
        <v>0.06</v>
      </c>
      <c r="N57" s="297">
        <v>0</v>
      </c>
      <c r="O57" s="297">
        <v>0</v>
      </c>
      <c r="P57" s="297">
        <v>0</v>
      </c>
      <c r="Q57" s="297">
        <f t="shared" si="1"/>
        <v>0.09</v>
      </c>
      <c r="R57"/>
      <c r="S57" s="297">
        <v>0</v>
      </c>
      <c r="T57" s="297">
        <v>0.09</v>
      </c>
      <c r="U57" s="297">
        <v>0</v>
      </c>
      <c r="V57" s="297">
        <v>0</v>
      </c>
      <c r="W57" s="297">
        <v>0</v>
      </c>
      <c r="X57" s="299"/>
      <c r="Y57" s="299"/>
      <c r="Z57" s="299"/>
      <c r="AA57" s="299"/>
      <c r="AB57" s="299"/>
      <c r="AC57" s="299"/>
      <c r="AD57" s="301"/>
      <c r="AE57" s="289"/>
      <c r="AF57" s="302">
        <f t="shared" si="2"/>
        <v>25.459999999999997</v>
      </c>
      <c r="AH57"/>
      <c r="AI57"/>
      <c r="AJ57"/>
      <c r="AK57"/>
    </row>
    <row r="58" spans="1:37" ht="15" customHeight="1" x14ac:dyDescent="0.3">
      <c r="A58" s="559">
        <v>43922</v>
      </c>
      <c r="B58" s="560" t="s">
        <v>46</v>
      </c>
      <c r="C58" s="561" t="s">
        <v>719</v>
      </c>
      <c r="D58" s="562" t="str">
        <f t="shared" si="0"/>
        <v>Toutes les femmes</v>
      </c>
      <c r="E58" s="561" t="s">
        <v>633</v>
      </c>
      <c r="F58" s="561">
        <v>2015</v>
      </c>
      <c r="G58" s="561">
        <v>6.3</v>
      </c>
      <c r="H58" s="561">
        <v>0.4</v>
      </c>
      <c r="I58" s="561">
        <v>1.4</v>
      </c>
      <c r="J58" s="561">
        <v>1.6</v>
      </c>
      <c r="K58" s="561">
        <v>5.8</v>
      </c>
      <c r="L58" s="561">
        <v>0.8</v>
      </c>
      <c r="M58" s="561">
        <v>1.3</v>
      </c>
      <c r="N58" s="561">
        <v>0</v>
      </c>
      <c r="O58" s="561">
        <v>0</v>
      </c>
      <c r="P58" s="561">
        <v>0</v>
      </c>
      <c r="Q58" s="561">
        <f t="shared" si="1"/>
        <v>0</v>
      </c>
      <c r="S58" s="561">
        <v>0</v>
      </c>
      <c r="T58" s="561">
        <v>0</v>
      </c>
      <c r="U58" s="561">
        <v>0</v>
      </c>
      <c r="V58" s="561">
        <v>0</v>
      </c>
      <c r="W58" s="561">
        <v>0</v>
      </c>
      <c r="X58" s="563"/>
      <c r="Y58" s="563"/>
      <c r="Z58" s="564"/>
      <c r="AA58" s="563"/>
      <c r="AB58" s="564"/>
      <c r="AC58" s="564"/>
      <c r="AD58" s="563"/>
      <c r="AE58" s="561"/>
      <c r="AF58" s="561">
        <f t="shared" si="2"/>
        <v>17.600000000000001</v>
      </c>
      <c r="AG58" s="565"/>
    </row>
    <row r="59" spans="1:37" x14ac:dyDescent="0.3">
      <c r="B59" s="282" t="s">
        <v>84</v>
      </c>
      <c r="C59" s="297" t="s">
        <v>718</v>
      </c>
      <c r="D59" s="314" t="str">
        <f t="shared" si="0"/>
        <v>Femmes mariées</v>
      </c>
      <c r="E59" s="297" t="s">
        <v>896</v>
      </c>
      <c r="F59" s="297">
        <v>2006</v>
      </c>
      <c r="G59" s="297">
        <v>0</v>
      </c>
      <c r="H59" s="297">
        <v>0</v>
      </c>
      <c r="I59" s="297">
        <v>0.1</v>
      </c>
      <c r="J59" s="297">
        <v>0</v>
      </c>
      <c r="K59" s="297">
        <v>0.2</v>
      </c>
      <c r="L59" s="297">
        <v>0.8</v>
      </c>
      <c r="M59" s="297">
        <v>0</v>
      </c>
      <c r="N59" s="297">
        <v>0</v>
      </c>
      <c r="O59" s="297">
        <v>0</v>
      </c>
      <c r="P59" s="297">
        <v>0</v>
      </c>
      <c r="Q59" s="297">
        <f t="shared" si="1"/>
        <v>0</v>
      </c>
      <c r="S59" s="297">
        <v>0</v>
      </c>
      <c r="T59" s="297">
        <v>0</v>
      </c>
      <c r="U59" s="297">
        <v>0</v>
      </c>
      <c r="V59" s="297">
        <v>0</v>
      </c>
      <c r="W59" s="297">
        <v>0</v>
      </c>
      <c r="X59" s="299"/>
      <c r="Y59" s="299"/>
      <c r="Z59" s="300"/>
      <c r="AA59" s="299"/>
      <c r="AB59" s="299"/>
      <c r="AC59" s="299"/>
      <c r="AD59" s="301"/>
      <c r="AE59" s="289"/>
      <c r="AF59" s="302">
        <f t="shared" si="2"/>
        <v>1.1000000000000001</v>
      </c>
    </row>
    <row r="60" spans="1:37" s="9" customFormat="1" x14ac:dyDescent="0.3">
      <c r="A60" s="448"/>
      <c r="B60" s="282" t="s">
        <v>53</v>
      </c>
      <c r="C60" s="297" t="s">
        <v>719</v>
      </c>
      <c r="D60" s="314" t="str">
        <f t="shared" si="0"/>
        <v>Toutes les femmes</v>
      </c>
      <c r="E60" s="297" t="s">
        <v>769</v>
      </c>
      <c r="F60" s="297">
        <v>2016</v>
      </c>
      <c r="G60" s="297">
        <v>4</v>
      </c>
      <c r="H60" s="297">
        <v>0.2</v>
      </c>
      <c r="I60" s="297">
        <v>0.9</v>
      </c>
      <c r="J60" s="297">
        <v>3.2</v>
      </c>
      <c r="K60" s="297">
        <v>22.6</v>
      </c>
      <c r="L60" s="297">
        <v>5</v>
      </c>
      <c r="M60" s="297">
        <v>11.7</v>
      </c>
      <c r="N60" s="297">
        <v>0.2</v>
      </c>
      <c r="O60" s="297">
        <v>0</v>
      </c>
      <c r="P60" s="297">
        <v>0</v>
      </c>
      <c r="Q60" s="297">
        <f t="shared" si="1"/>
        <v>0</v>
      </c>
      <c r="R60"/>
      <c r="S60" s="297">
        <v>0</v>
      </c>
      <c r="T60" s="297">
        <v>0</v>
      </c>
      <c r="U60" s="297">
        <v>0</v>
      </c>
      <c r="V60" s="297">
        <v>0</v>
      </c>
      <c r="W60" s="297">
        <v>0</v>
      </c>
      <c r="X60" s="299"/>
      <c r="Y60" s="299"/>
      <c r="Z60" s="300"/>
      <c r="AA60" s="299"/>
      <c r="AB60" s="299"/>
      <c r="AC60" s="299"/>
      <c r="AD60" s="301"/>
      <c r="AE60" s="289"/>
      <c r="AF60" s="302">
        <f t="shared" si="2"/>
        <v>47.800000000000011</v>
      </c>
      <c r="AH60"/>
      <c r="AI60"/>
      <c r="AJ60"/>
      <c r="AK60"/>
    </row>
    <row r="61" spans="1:37" x14ac:dyDescent="0.3">
      <c r="B61" s="282" t="s">
        <v>85</v>
      </c>
      <c r="C61" s="297" t="s">
        <v>718</v>
      </c>
      <c r="D61" s="314" t="str">
        <f t="shared" si="0"/>
        <v>Femmes mariées</v>
      </c>
      <c r="E61" s="297" t="s">
        <v>773</v>
      </c>
      <c r="F61" s="297">
        <v>2010</v>
      </c>
      <c r="G61" s="297">
        <v>0.1</v>
      </c>
      <c r="H61" s="297">
        <v>0</v>
      </c>
      <c r="I61" s="297">
        <v>0</v>
      </c>
      <c r="J61" s="297">
        <v>0</v>
      </c>
      <c r="K61" s="297">
        <v>0.4</v>
      </c>
      <c r="L61" s="297">
        <v>0.3</v>
      </c>
      <c r="M61" s="297">
        <v>0.4</v>
      </c>
      <c r="N61" s="297">
        <v>0</v>
      </c>
      <c r="O61" s="297">
        <v>0.5</v>
      </c>
      <c r="P61" s="297">
        <v>0</v>
      </c>
      <c r="Q61" s="297">
        <f t="shared" si="1"/>
        <v>0</v>
      </c>
      <c r="S61" s="297">
        <v>0</v>
      </c>
      <c r="T61" s="297">
        <v>0</v>
      </c>
      <c r="U61" s="297">
        <v>0</v>
      </c>
      <c r="V61" s="297">
        <v>0</v>
      </c>
      <c r="W61" s="297">
        <v>0</v>
      </c>
      <c r="X61" s="299"/>
      <c r="Y61" s="299"/>
      <c r="Z61" s="300"/>
      <c r="AA61" s="299"/>
      <c r="AB61" s="300"/>
      <c r="AC61" s="300"/>
      <c r="AD61" s="301"/>
      <c r="AE61" s="289"/>
      <c r="AF61" s="302">
        <f t="shared" si="2"/>
        <v>1.7000000000000002</v>
      </c>
    </row>
    <row r="62" spans="1:37" s="447" customFormat="1" x14ac:dyDescent="0.3">
      <c r="A62" s="559">
        <v>43922</v>
      </c>
      <c r="B62" s="560" t="s">
        <v>86</v>
      </c>
      <c r="C62" s="561" t="s">
        <v>718</v>
      </c>
      <c r="D62" s="562" t="str">
        <f t="shared" si="0"/>
        <v>Femmes mariées</v>
      </c>
      <c r="E62" s="561" t="s">
        <v>887</v>
      </c>
      <c r="F62" s="561">
        <v>2016</v>
      </c>
      <c r="G62" s="561">
        <v>14</v>
      </c>
      <c r="H62" s="561">
        <v>0</v>
      </c>
      <c r="I62" s="561">
        <v>10.6</v>
      </c>
      <c r="J62" s="561">
        <v>4.5999999999999996</v>
      </c>
      <c r="K62" s="561">
        <v>8.6</v>
      </c>
      <c r="L62" s="561">
        <v>8.6</v>
      </c>
      <c r="M62" s="561">
        <v>7</v>
      </c>
      <c r="N62" s="561">
        <v>0</v>
      </c>
      <c r="O62" s="561">
        <v>0</v>
      </c>
      <c r="P62" s="561">
        <v>0</v>
      </c>
      <c r="Q62" s="561">
        <f t="shared" si="1"/>
        <v>0.1</v>
      </c>
      <c r="R62"/>
      <c r="S62" s="561">
        <v>0</v>
      </c>
      <c r="T62" s="561">
        <v>0</v>
      </c>
      <c r="U62" s="561">
        <v>0</v>
      </c>
      <c r="V62" s="561">
        <v>0.1</v>
      </c>
      <c r="W62" s="561">
        <v>0</v>
      </c>
      <c r="X62" s="563"/>
      <c r="Y62" s="563"/>
      <c r="Z62" s="564"/>
      <c r="AA62" s="563"/>
      <c r="AB62" s="564"/>
      <c r="AC62" s="564"/>
      <c r="AD62" s="563"/>
      <c r="AE62" s="561"/>
      <c r="AF62" s="561">
        <f t="shared" si="2"/>
        <v>53.500000000000007</v>
      </c>
      <c r="AG62" s="565"/>
      <c r="AH62"/>
      <c r="AI62"/>
      <c r="AJ62"/>
      <c r="AK62"/>
    </row>
    <row r="63" spans="1:37" x14ac:dyDescent="0.3">
      <c r="B63" s="282" t="s">
        <v>117</v>
      </c>
      <c r="C63" s="297" t="s">
        <v>718</v>
      </c>
      <c r="D63" s="314" t="str">
        <f t="shared" si="0"/>
        <v>Femmes mariées</v>
      </c>
      <c r="E63" s="297" t="s">
        <v>760</v>
      </c>
      <c r="F63" s="297">
        <v>2014</v>
      </c>
      <c r="G63" s="297">
        <v>1.8</v>
      </c>
      <c r="H63" s="297">
        <v>0</v>
      </c>
      <c r="I63" s="297">
        <v>26.2</v>
      </c>
      <c r="J63" s="297">
        <v>0</v>
      </c>
      <c r="K63" s="297">
        <v>0.9</v>
      </c>
      <c r="L63" s="297">
        <v>8</v>
      </c>
      <c r="M63" s="297">
        <v>5.6</v>
      </c>
      <c r="N63" s="297">
        <v>0</v>
      </c>
      <c r="O63" s="297">
        <v>1.6</v>
      </c>
      <c r="P63" s="297">
        <v>0</v>
      </c>
      <c r="Q63" s="297">
        <f t="shared" si="1"/>
        <v>0.2</v>
      </c>
      <c r="S63" s="297">
        <v>0.1</v>
      </c>
      <c r="T63" s="297">
        <v>0.1</v>
      </c>
      <c r="U63" s="297">
        <v>0</v>
      </c>
      <c r="V63" s="297">
        <v>0</v>
      </c>
      <c r="W63" s="297">
        <v>0</v>
      </c>
      <c r="X63" s="299"/>
      <c r="Y63" s="299"/>
      <c r="Z63" s="300"/>
      <c r="AA63" s="299"/>
      <c r="AB63" s="300"/>
      <c r="AC63" s="300"/>
      <c r="AD63" s="301"/>
      <c r="AE63" s="289"/>
      <c r="AF63" s="302">
        <f t="shared" si="2"/>
        <v>44.300000000000004</v>
      </c>
    </row>
    <row r="64" spans="1:37" x14ac:dyDescent="0.3">
      <c r="B64" s="282" t="s">
        <v>87</v>
      </c>
      <c r="C64" s="297" t="s">
        <v>718</v>
      </c>
      <c r="D64" s="314" t="str">
        <f t="shared" si="0"/>
        <v>Femmes mariées</v>
      </c>
      <c r="E64" s="297" t="s">
        <v>760</v>
      </c>
      <c r="F64" s="297">
        <v>2014</v>
      </c>
      <c r="G64" s="297">
        <v>0</v>
      </c>
      <c r="H64" s="297">
        <v>0</v>
      </c>
      <c r="I64" s="297">
        <v>0.4</v>
      </c>
      <c r="J64" s="297">
        <v>0.3</v>
      </c>
      <c r="K64" s="297">
        <v>1.4</v>
      </c>
      <c r="L64" s="297">
        <v>9</v>
      </c>
      <c r="M64" s="297">
        <v>0</v>
      </c>
      <c r="N64" s="297">
        <v>0</v>
      </c>
      <c r="O64" s="297">
        <v>0.4</v>
      </c>
      <c r="P64" s="297">
        <v>0</v>
      </c>
      <c r="Q64" s="297">
        <f t="shared" si="1"/>
        <v>0</v>
      </c>
      <c r="S64" s="297">
        <v>0</v>
      </c>
      <c r="T64" s="297">
        <v>0</v>
      </c>
      <c r="U64" s="297">
        <v>0</v>
      </c>
      <c r="V64" s="297">
        <v>0</v>
      </c>
      <c r="W64" s="297">
        <v>0</v>
      </c>
      <c r="X64" s="299"/>
      <c r="Y64" s="299"/>
      <c r="Z64" s="300"/>
      <c r="AA64" s="299"/>
      <c r="AB64" s="300"/>
      <c r="AC64" s="300"/>
      <c r="AD64" s="301"/>
      <c r="AE64" s="289"/>
      <c r="AF64" s="302">
        <f t="shared" si="2"/>
        <v>11.5</v>
      </c>
    </row>
    <row r="65" spans="1:37" s="9" customFormat="1" x14ac:dyDescent="0.3">
      <c r="A65" s="448"/>
      <c r="B65" s="282" t="s">
        <v>88</v>
      </c>
      <c r="C65" s="297" t="s">
        <v>719</v>
      </c>
      <c r="D65" s="314" t="str">
        <f t="shared" si="0"/>
        <v>Toutes les femmes</v>
      </c>
      <c r="E65" s="297" t="s">
        <v>800</v>
      </c>
      <c r="F65" s="297">
        <v>2017</v>
      </c>
      <c r="G65" s="297">
        <v>0.6</v>
      </c>
      <c r="H65" s="297">
        <v>0</v>
      </c>
      <c r="I65" s="297">
        <v>13.3</v>
      </c>
      <c r="J65" s="297">
        <v>0.1</v>
      </c>
      <c r="K65" s="297">
        <v>0.9</v>
      </c>
      <c r="L65" s="297">
        <v>1.4</v>
      </c>
      <c r="M65" s="297">
        <v>2.8</v>
      </c>
      <c r="N65" s="297">
        <v>0</v>
      </c>
      <c r="O65" s="297">
        <v>0.7</v>
      </c>
      <c r="P65" s="297">
        <v>0</v>
      </c>
      <c r="Q65" s="297">
        <f t="shared" si="1"/>
        <v>0</v>
      </c>
      <c r="R65"/>
      <c r="S65" s="297">
        <v>0</v>
      </c>
      <c r="T65" s="297">
        <v>0</v>
      </c>
      <c r="U65" s="297">
        <v>0</v>
      </c>
      <c r="V65" s="297">
        <v>0</v>
      </c>
      <c r="W65" s="297">
        <v>0</v>
      </c>
      <c r="X65" s="299"/>
      <c r="Y65" s="299"/>
      <c r="Z65" s="300"/>
      <c r="AA65" s="299"/>
      <c r="AB65" s="300"/>
      <c r="AC65" s="300"/>
      <c r="AD65" s="301"/>
      <c r="AE65" s="289"/>
      <c r="AF65" s="302">
        <f t="shared" si="2"/>
        <v>19.8</v>
      </c>
      <c r="AH65"/>
      <c r="AI65"/>
      <c r="AJ65"/>
      <c r="AK65"/>
    </row>
    <row r="66" spans="1:37" x14ac:dyDescent="0.3">
      <c r="B66" s="282" t="s">
        <v>210</v>
      </c>
      <c r="C66" s="297" t="s">
        <v>719</v>
      </c>
      <c r="D66" s="314" t="str">
        <f t="shared" si="0"/>
        <v>Toutes les femmes</v>
      </c>
      <c r="E66" s="297" t="s">
        <v>769</v>
      </c>
      <c r="F66" s="297">
        <v>2016</v>
      </c>
      <c r="G66" s="297">
        <v>3.4</v>
      </c>
      <c r="H66" s="297">
        <v>0.1</v>
      </c>
      <c r="I66" s="297">
        <v>0.9</v>
      </c>
      <c r="J66" s="297">
        <v>6.7</v>
      </c>
      <c r="K66" s="297">
        <v>12.6</v>
      </c>
      <c r="L66" s="297">
        <v>5.5</v>
      </c>
      <c r="M66" s="297">
        <v>2.4</v>
      </c>
      <c r="N66" s="297">
        <v>0</v>
      </c>
      <c r="O66" s="297">
        <v>0.5</v>
      </c>
      <c r="P66" s="297">
        <v>0</v>
      </c>
      <c r="Q66" s="297">
        <f t="shared" si="1"/>
        <v>0</v>
      </c>
      <c r="S66" s="297">
        <v>0</v>
      </c>
      <c r="T66" s="297">
        <v>0</v>
      </c>
      <c r="U66" s="297">
        <v>0</v>
      </c>
      <c r="V66" s="297">
        <v>0</v>
      </c>
      <c r="W66" s="297">
        <v>0</v>
      </c>
      <c r="X66" s="299"/>
      <c r="Y66" s="299"/>
      <c r="Z66" s="299"/>
      <c r="AA66" s="299"/>
      <c r="AB66" s="299"/>
      <c r="AC66" s="299"/>
      <c r="AD66" s="301"/>
      <c r="AE66" s="289"/>
      <c r="AF66" s="302">
        <f t="shared" si="2"/>
        <v>32.1</v>
      </c>
    </row>
    <row r="67" spans="1:37" s="9" customFormat="1" x14ac:dyDescent="0.3">
      <c r="A67" s="448"/>
      <c r="B67" s="282" t="s">
        <v>89</v>
      </c>
      <c r="C67" s="297" t="s">
        <v>719</v>
      </c>
      <c r="D67" s="314" t="str">
        <f t="shared" si="0"/>
        <v>Toutes les femmes</v>
      </c>
      <c r="E67" s="297" t="s">
        <v>769</v>
      </c>
      <c r="F67" s="297">
        <v>2016</v>
      </c>
      <c r="G67" s="297">
        <v>0.9</v>
      </c>
      <c r="H67" s="297">
        <v>0</v>
      </c>
      <c r="I67" s="297">
        <v>1.2</v>
      </c>
      <c r="J67" s="297">
        <v>3.8</v>
      </c>
      <c r="K67" s="297">
        <v>7.2</v>
      </c>
      <c r="L67" s="297">
        <v>1.4</v>
      </c>
      <c r="M67" s="297">
        <v>0.1</v>
      </c>
      <c r="N67" s="297">
        <v>0</v>
      </c>
      <c r="O67" s="297">
        <v>0.1</v>
      </c>
      <c r="P67" s="297">
        <v>0.2</v>
      </c>
      <c r="Q67" s="297">
        <f t="shared" si="1"/>
        <v>0.1</v>
      </c>
      <c r="R67"/>
      <c r="S67" s="297">
        <v>0</v>
      </c>
      <c r="T67" s="297">
        <v>0</v>
      </c>
      <c r="U67" s="297">
        <v>0</v>
      </c>
      <c r="V67" s="297">
        <v>0</v>
      </c>
      <c r="W67" s="297">
        <v>0.1</v>
      </c>
      <c r="X67" s="299"/>
      <c r="Y67" s="299"/>
      <c r="Z67" s="299"/>
      <c r="AA67" s="299"/>
      <c r="AB67" s="299"/>
      <c r="AC67" s="299"/>
      <c r="AD67" s="301"/>
      <c r="AE67" s="289"/>
      <c r="AF67" s="302">
        <f t="shared" si="2"/>
        <v>15</v>
      </c>
      <c r="AH67"/>
      <c r="AI67"/>
      <c r="AJ67"/>
      <c r="AK67"/>
    </row>
    <row r="68" spans="1:37" x14ac:dyDescent="0.3">
      <c r="A68" s="559">
        <v>43922</v>
      </c>
      <c r="B68" s="560" t="s">
        <v>90</v>
      </c>
      <c r="C68" s="561" t="s">
        <v>719</v>
      </c>
      <c r="D68" s="562" t="str">
        <f t="shared" si="0"/>
        <v>Toutes les femmes</v>
      </c>
      <c r="E68" s="561" t="s">
        <v>869</v>
      </c>
      <c r="F68" s="561">
        <v>2017</v>
      </c>
      <c r="G68" s="561">
        <v>0.7</v>
      </c>
      <c r="H68" s="561">
        <v>0.1</v>
      </c>
      <c r="I68" s="561">
        <v>0.7</v>
      </c>
      <c r="J68" s="561">
        <v>3.9</v>
      </c>
      <c r="K68" s="561">
        <v>6</v>
      </c>
      <c r="L68" s="561">
        <v>2.1</v>
      </c>
      <c r="M68" s="561">
        <v>4.9000000000000004</v>
      </c>
      <c r="N68" s="561">
        <v>0.1</v>
      </c>
      <c r="O68" s="561">
        <v>0.4</v>
      </c>
      <c r="P68" s="561">
        <v>0</v>
      </c>
      <c r="Q68" s="561">
        <f t="shared" si="1"/>
        <v>0.2</v>
      </c>
      <c r="S68" s="561">
        <v>0.1</v>
      </c>
      <c r="T68" s="561">
        <v>0.1</v>
      </c>
      <c r="U68" s="561">
        <v>0</v>
      </c>
      <c r="V68" s="561">
        <v>0</v>
      </c>
      <c r="W68" s="561">
        <v>0</v>
      </c>
      <c r="X68" s="563"/>
      <c r="Y68" s="563"/>
      <c r="Z68" s="564"/>
      <c r="AA68" s="563"/>
      <c r="AB68" s="564"/>
      <c r="AC68" s="564"/>
      <c r="AD68" s="563"/>
      <c r="AE68" s="561"/>
      <c r="AF68" s="561">
        <f t="shared" si="2"/>
        <v>19.099999999999998</v>
      </c>
      <c r="AG68" s="565"/>
    </row>
    <row r="69" spans="1:37" s="9" customFormat="1" x14ac:dyDescent="0.3">
      <c r="A69" s="448"/>
      <c r="B69" s="282" t="s">
        <v>47</v>
      </c>
      <c r="C69" s="297" t="s">
        <v>719</v>
      </c>
      <c r="D69" s="314" t="str">
        <f t="shared" ref="D69:D75" si="3">VLOOKUP(C69, $D$1:$E$2, 2, FALSE)</f>
        <v>Toutes les femmes</v>
      </c>
      <c r="E69" s="297" t="s">
        <v>769</v>
      </c>
      <c r="F69" s="297">
        <v>2016</v>
      </c>
      <c r="G69" s="297">
        <v>1.8</v>
      </c>
      <c r="H69" s="297">
        <v>0.1</v>
      </c>
      <c r="I69" s="297">
        <v>1.1000000000000001</v>
      </c>
      <c r="J69" s="297">
        <v>4.7</v>
      </c>
      <c r="K69" s="297">
        <v>13.9</v>
      </c>
      <c r="L69" s="297">
        <v>1.5</v>
      </c>
      <c r="M69" s="297">
        <v>3.1</v>
      </c>
      <c r="N69" s="297">
        <v>0</v>
      </c>
      <c r="O69" s="297">
        <v>0.6</v>
      </c>
      <c r="P69" s="297">
        <v>0.3</v>
      </c>
      <c r="Q69" s="297">
        <f t="shared" ref="Q69:Q75" si="4">SUM(S69:W69)</f>
        <v>0.1</v>
      </c>
      <c r="R69"/>
      <c r="S69" s="297">
        <v>0</v>
      </c>
      <c r="T69" s="297">
        <v>0</v>
      </c>
      <c r="U69" s="297">
        <v>0</v>
      </c>
      <c r="V69" s="297">
        <v>0.1</v>
      </c>
      <c r="W69" s="297">
        <v>0</v>
      </c>
      <c r="X69" s="299"/>
      <c r="Y69" s="305"/>
      <c r="Z69" s="305"/>
      <c r="AA69" s="299"/>
      <c r="AB69" s="299"/>
      <c r="AC69" s="299"/>
      <c r="AD69" s="301"/>
      <c r="AE69" s="306"/>
      <c r="AF69" s="302">
        <f t="shared" ref="AF69:AF75" si="5">SUM(G69:Q69)</f>
        <v>27.200000000000006</v>
      </c>
      <c r="AH69"/>
      <c r="AI69"/>
      <c r="AJ69"/>
      <c r="AK69"/>
    </row>
    <row r="70" spans="1:37" x14ac:dyDescent="0.3">
      <c r="B70" s="282" t="s">
        <v>91</v>
      </c>
      <c r="C70" s="297" t="s">
        <v>719</v>
      </c>
      <c r="D70" s="314" t="str">
        <f t="shared" si="3"/>
        <v>Toutes les femmes</v>
      </c>
      <c r="E70" s="297" t="s">
        <v>772</v>
      </c>
      <c r="F70" s="297">
        <v>2006</v>
      </c>
      <c r="G70" s="297">
        <v>1.4</v>
      </c>
      <c r="H70" s="297">
        <v>0.1</v>
      </c>
      <c r="I70" s="297">
        <v>32.4</v>
      </c>
      <c r="J70" s="297">
        <v>0.1</v>
      </c>
      <c r="K70" s="297">
        <v>1.7</v>
      </c>
      <c r="L70" s="297">
        <v>1.5</v>
      </c>
      <c r="M70" s="297">
        <v>1.4</v>
      </c>
      <c r="N70" s="297">
        <v>0</v>
      </c>
      <c r="O70" s="297">
        <v>1.7</v>
      </c>
      <c r="P70" s="297">
        <v>0</v>
      </c>
      <c r="Q70" s="297">
        <f t="shared" si="4"/>
        <v>0</v>
      </c>
      <c r="S70" s="297">
        <v>0</v>
      </c>
      <c r="T70" s="297">
        <v>0</v>
      </c>
      <c r="U70" s="297">
        <v>0</v>
      </c>
      <c r="V70" s="297">
        <v>0</v>
      </c>
      <c r="W70" s="297">
        <v>0</v>
      </c>
      <c r="X70" s="299"/>
      <c r="Y70" s="299"/>
      <c r="Z70" s="300"/>
      <c r="AA70" s="299"/>
      <c r="AB70" s="300"/>
      <c r="AC70" s="300"/>
      <c r="AD70" s="301"/>
      <c r="AE70" s="289"/>
      <c r="AF70" s="302">
        <f t="shared" si="5"/>
        <v>40.300000000000004</v>
      </c>
    </row>
    <row r="71" spans="1:37" s="9" customFormat="1" x14ac:dyDescent="0.3">
      <c r="B71" s="282" t="s">
        <v>92</v>
      </c>
      <c r="C71" s="297" t="s">
        <v>718</v>
      </c>
      <c r="D71" s="314" t="str">
        <f t="shared" si="3"/>
        <v>Femmes mariées</v>
      </c>
      <c r="E71" s="297" t="s">
        <v>774</v>
      </c>
      <c r="F71" s="297">
        <v>2013.5</v>
      </c>
      <c r="G71" s="297">
        <v>3.04</v>
      </c>
      <c r="H71" s="297">
        <v>0.08</v>
      </c>
      <c r="I71" s="297">
        <v>20.3</v>
      </c>
      <c r="J71" s="297">
        <v>0.1</v>
      </c>
      <c r="K71" s="297">
        <v>1.2</v>
      </c>
      <c r="L71" s="297">
        <v>8.6</v>
      </c>
      <c r="M71" s="297">
        <v>8.5</v>
      </c>
      <c r="N71" s="297">
        <v>0</v>
      </c>
      <c r="O71" s="297">
        <v>0</v>
      </c>
      <c r="P71" s="297">
        <v>0</v>
      </c>
      <c r="Q71" s="297">
        <f t="shared" si="4"/>
        <v>0.2</v>
      </c>
      <c r="R71"/>
      <c r="S71" s="297">
        <v>0</v>
      </c>
      <c r="T71" s="297">
        <v>0</v>
      </c>
      <c r="U71" s="297">
        <v>0</v>
      </c>
      <c r="V71" s="297">
        <v>0</v>
      </c>
      <c r="W71" s="297">
        <v>0.2</v>
      </c>
      <c r="X71" s="299"/>
      <c r="Y71" s="299"/>
      <c r="Z71" s="300"/>
      <c r="AA71" s="299"/>
      <c r="AB71" s="300"/>
      <c r="AC71" s="300"/>
      <c r="AD71" s="301"/>
      <c r="AE71" s="289"/>
      <c r="AF71" s="302">
        <f t="shared" si="5"/>
        <v>42.02</v>
      </c>
      <c r="AH71"/>
      <c r="AI71"/>
      <c r="AJ71"/>
      <c r="AK71"/>
    </row>
    <row r="72" spans="1:37" x14ac:dyDescent="0.3">
      <c r="B72" s="282" t="s">
        <v>93</v>
      </c>
      <c r="C72" s="297"/>
      <c r="D72" s="314" t="e">
        <f t="shared" si="3"/>
        <v>#N/A</v>
      </c>
      <c r="E72" s="297"/>
      <c r="F72" s="297"/>
      <c r="G72" s="297">
        <v>0</v>
      </c>
      <c r="H72" s="297">
        <v>0</v>
      </c>
      <c r="I72" s="297">
        <v>0</v>
      </c>
      <c r="J72" s="297">
        <v>0</v>
      </c>
      <c r="K72" s="297">
        <v>0</v>
      </c>
      <c r="L72" s="297">
        <v>0</v>
      </c>
      <c r="M72" s="297">
        <v>0</v>
      </c>
      <c r="N72" s="297">
        <v>0</v>
      </c>
      <c r="O72" s="297">
        <v>0</v>
      </c>
      <c r="P72" s="297">
        <v>0</v>
      </c>
      <c r="Q72" s="297">
        <f t="shared" si="4"/>
        <v>0</v>
      </c>
      <c r="S72" s="297">
        <v>0</v>
      </c>
      <c r="T72" s="297">
        <v>0</v>
      </c>
      <c r="U72" s="297">
        <v>0</v>
      </c>
      <c r="V72" s="297">
        <v>0</v>
      </c>
      <c r="W72" s="297">
        <v>0</v>
      </c>
      <c r="X72" s="299"/>
      <c r="Y72" s="299"/>
      <c r="Z72" s="300"/>
      <c r="AA72" s="299"/>
      <c r="AB72" s="300"/>
      <c r="AC72" s="300"/>
      <c r="AD72" s="301"/>
      <c r="AE72" s="289"/>
      <c r="AF72" s="302">
        <f t="shared" si="5"/>
        <v>0</v>
      </c>
    </row>
    <row r="73" spans="1:37" x14ac:dyDescent="0.3">
      <c r="B73" s="282" t="s">
        <v>94</v>
      </c>
      <c r="C73" s="297" t="s">
        <v>718</v>
      </c>
      <c r="D73" s="314" t="str">
        <f t="shared" si="3"/>
        <v>Femmes mariées</v>
      </c>
      <c r="E73" s="297" t="s">
        <v>768</v>
      </c>
      <c r="F73" s="297">
        <v>2013</v>
      </c>
      <c r="G73" s="297">
        <v>2.2999999999999998</v>
      </c>
      <c r="H73" s="297">
        <v>0.1</v>
      </c>
      <c r="I73" s="297">
        <v>5.9</v>
      </c>
      <c r="J73" s="297">
        <v>0.6</v>
      </c>
      <c r="K73" s="297">
        <v>4.2</v>
      </c>
      <c r="L73" s="297">
        <v>11.6</v>
      </c>
      <c r="M73" s="297">
        <v>0.5</v>
      </c>
      <c r="N73" s="297">
        <v>0</v>
      </c>
      <c r="O73" s="297">
        <v>4</v>
      </c>
      <c r="P73" s="297">
        <v>0</v>
      </c>
      <c r="Q73" s="297">
        <f t="shared" si="4"/>
        <v>0</v>
      </c>
      <c r="S73" s="297">
        <v>0</v>
      </c>
      <c r="T73" s="297">
        <v>0</v>
      </c>
      <c r="U73" s="297">
        <v>0</v>
      </c>
      <c r="V73" s="297">
        <v>0</v>
      </c>
      <c r="W73" s="297">
        <v>0</v>
      </c>
      <c r="X73" s="299"/>
      <c r="Y73" s="299"/>
      <c r="Z73" s="299"/>
      <c r="AA73" s="299"/>
      <c r="AB73" s="299"/>
      <c r="AC73" s="299"/>
      <c r="AD73" s="301"/>
      <c r="AE73" s="289"/>
      <c r="AF73" s="302">
        <f t="shared" si="5"/>
        <v>29.200000000000003</v>
      </c>
    </row>
    <row r="74" spans="1:37" x14ac:dyDescent="0.3">
      <c r="A74" s="559">
        <v>43922</v>
      </c>
      <c r="B74" s="560" t="s">
        <v>48</v>
      </c>
      <c r="C74" s="561" t="s">
        <v>719</v>
      </c>
      <c r="D74" s="562" t="str">
        <f t="shared" si="3"/>
        <v>Toutes les femmes</v>
      </c>
      <c r="E74" s="561" t="s">
        <v>879</v>
      </c>
      <c r="F74" s="561">
        <v>2018</v>
      </c>
      <c r="G74" s="561">
        <v>0.9</v>
      </c>
      <c r="H74" s="561">
        <v>0</v>
      </c>
      <c r="I74" s="561">
        <v>0.5</v>
      </c>
      <c r="J74" s="561">
        <v>6.1</v>
      </c>
      <c r="K74" s="561">
        <v>18</v>
      </c>
      <c r="L74" s="561">
        <v>4.9000000000000004</v>
      </c>
      <c r="M74" s="561">
        <v>3</v>
      </c>
      <c r="N74" s="561">
        <v>0</v>
      </c>
      <c r="O74" s="561">
        <v>0.4</v>
      </c>
      <c r="P74" s="561">
        <v>0.2</v>
      </c>
      <c r="Q74" s="561">
        <f t="shared" si="4"/>
        <v>0.1</v>
      </c>
      <c r="S74" s="561">
        <v>0</v>
      </c>
      <c r="T74" s="561">
        <v>0</v>
      </c>
      <c r="U74" s="561">
        <v>0</v>
      </c>
      <c r="V74" s="561">
        <v>0.1</v>
      </c>
      <c r="W74" s="561">
        <v>0</v>
      </c>
      <c r="X74" s="563"/>
      <c r="Y74" s="563"/>
      <c r="Z74" s="564"/>
      <c r="AA74" s="563"/>
      <c r="AB74" s="564"/>
      <c r="AC74" s="564"/>
      <c r="AD74" s="563"/>
      <c r="AE74" s="561"/>
      <c r="AF74" s="561">
        <f t="shared" si="5"/>
        <v>34.1</v>
      </c>
      <c r="AG74" s="565"/>
    </row>
    <row r="75" spans="1:37" x14ac:dyDescent="0.3">
      <c r="B75" s="347" t="s">
        <v>49</v>
      </c>
      <c r="C75" s="297" t="s">
        <v>719</v>
      </c>
      <c r="D75" s="314" t="str">
        <f t="shared" si="3"/>
        <v>Toutes les femmes</v>
      </c>
      <c r="E75" s="297" t="s">
        <v>759</v>
      </c>
      <c r="F75" s="297">
        <v>2015</v>
      </c>
      <c r="G75" s="297">
        <v>0.6</v>
      </c>
      <c r="H75" s="297">
        <v>0</v>
      </c>
      <c r="I75" s="297">
        <v>0.4</v>
      </c>
      <c r="J75" s="297">
        <v>8.1</v>
      </c>
      <c r="K75" s="297">
        <v>7.2</v>
      </c>
      <c r="L75" s="297">
        <v>27</v>
      </c>
      <c r="M75" s="297">
        <v>4.2</v>
      </c>
      <c r="N75" s="297">
        <v>0.1</v>
      </c>
      <c r="O75" s="297">
        <v>0.2</v>
      </c>
      <c r="P75" s="297">
        <v>0</v>
      </c>
      <c r="Q75" s="297">
        <f t="shared" si="4"/>
        <v>0</v>
      </c>
      <c r="S75" s="297">
        <v>0</v>
      </c>
      <c r="T75" s="297">
        <v>0</v>
      </c>
      <c r="U75" s="297">
        <v>0</v>
      </c>
      <c r="V75" s="297">
        <v>0</v>
      </c>
      <c r="W75" s="297">
        <v>0</v>
      </c>
      <c r="X75" s="299"/>
      <c r="Y75" s="299"/>
      <c r="Z75" s="299"/>
      <c r="AA75" s="299"/>
      <c r="AB75" s="299"/>
      <c r="AC75" s="299"/>
      <c r="AD75" s="301"/>
      <c r="AE75" s="289"/>
      <c r="AF75" s="302">
        <f t="shared" si="5"/>
        <v>47.800000000000004</v>
      </c>
    </row>
    <row r="77" spans="1:37" x14ac:dyDescent="0.3">
      <c r="G77" s="309"/>
      <c r="H77" s="309"/>
      <c r="I77" s="309"/>
      <c r="J77" s="309"/>
      <c r="K77" s="309"/>
      <c r="L77" s="309"/>
      <c r="M77" s="309"/>
      <c r="N77" s="309"/>
      <c r="O77" s="309"/>
      <c r="P77" s="309"/>
      <c r="Q77" s="309"/>
      <c r="S77" s="309"/>
      <c r="T77" s="309"/>
      <c r="U77" s="309"/>
      <c r="V77" s="309"/>
      <c r="W77" s="309"/>
      <c r="X77" s="309"/>
      <c r="Y77" s="309"/>
      <c r="Z77" s="309"/>
      <c r="AA77" s="309"/>
      <c r="AB77" s="309"/>
      <c r="AC77" s="309"/>
      <c r="AD77" s="310"/>
      <c r="AE77" s="287"/>
    </row>
    <row r="78" spans="1:37" x14ac:dyDescent="0.3">
      <c r="AD78" s="310"/>
    </row>
    <row r="79" spans="1:37" x14ac:dyDescent="0.3">
      <c r="B79" s="311" t="s">
        <v>658</v>
      </c>
      <c r="W79" s="312"/>
      <c r="X79" s="313"/>
      <c r="Y79" s="313"/>
      <c r="AD79" s="310"/>
    </row>
    <row r="80" spans="1:37" x14ac:dyDescent="0.3">
      <c r="B80" s="282" t="s">
        <v>895</v>
      </c>
      <c r="AD80" s="310"/>
    </row>
    <row r="81" spans="2:30" x14ac:dyDescent="0.3">
      <c r="AD81" s="310"/>
    </row>
    <row r="82" spans="2:30" x14ac:dyDescent="0.3">
      <c r="AD82" s="310"/>
    </row>
    <row r="83" spans="2:30" x14ac:dyDescent="0.3">
      <c r="AD83" s="310"/>
    </row>
    <row r="84" spans="2:30" x14ac:dyDescent="0.3">
      <c r="AD84" s="310"/>
    </row>
    <row r="85" spans="2:30" x14ac:dyDescent="0.3">
      <c r="AD85" s="310"/>
    </row>
    <row r="86" spans="2:30" x14ac:dyDescent="0.3">
      <c r="B86" s="5"/>
      <c r="C86" s="348"/>
      <c r="D86" s="348"/>
      <c r="E86" s="349"/>
      <c r="F86" s="349"/>
      <c r="G86" s="9"/>
      <c r="H86" s="9"/>
      <c r="I86" s="9"/>
      <c r="J86" s="9"/>
      <c r="K86" s="9"/>
      <c r="L86" s="9"/>
      <c r="M86" s="9"/>
      <c r="N86" s="9"/>
      <c r="O86" s="9"/>
      <c r="P86" s="716"/>
      <c r="Q86" s="716"/>
      <c r="S86" s="9"/>
      <c r="T86" s="9"/>
      <c r="U86" s="9"/>
      <c r="V86" s="9"/>
      <c r="W86" s="9"/>
      <c r="X86" s="9"/>
      <c r="Y86" s="9"/>
      <c r="Z86" s="9"/>
      <c r="AA86" s="5"/>
      <c r="AB86" s="9"/>
      <c r="AC86" s="9"/>
      <c r="AD86" s="310"/>
    </row>
    <row r="87" spans="2:30" x14ac:dyDescent="0.3">
      <c r="B87" s="5"/>
      <c r="C87" s="348"/>
      <c r="D87" s="348"/>
      <c r="E87" s="349"/>
      <c r="F87" s="349"/>
      <c r="G87" s="9"/>
      <c r="H87" s="9"/>
      <c r="I87" s="9"/>
      <c r="J87" s="9"/>
      <c r="K87" s="9"/>
      <c r="L87" s="9"/>
      <c r="M87" s="9"/>
      <c r="N87" s="9"/>
      <c r="O87" s="9"/>
      <c r="P87" s="716"/>
      <c r="Q87" s="716"/>
      <c r="S87" s="9"/>
      <c r="T87" s="9"/>
      <c r="U87" s="9"/>
      <c r="V87" s="9"/>
      <c r="W87" s="9"/>
      <c r="X87" s="9"/>
      <c r="Y87" s="9"/>
      <c r="Z87" s="9"/>
      <c r="AA87" s="5"/>
      <c r="AB87" s="9"/>
      <c r="AC87" s="9"/>
      <c r="AD87" s="310"/>
    </row>
    <row r="88" spans="2:30" x14ac:dyDescent="0.3">
      <c r="B88" s="5"/>
      <c r="C88" s="348"/>
      <c r="D88" s="348"/>
      <c r="E88" s="349"/>
      <c r="F88" s="349"/>
      <c r="G88" s="9"/>
      <c r="H88" s="9"/>
      <c r="I88" s="9"/>
      <c r="J88" s="9"/>
      <c r="K88" s="9"/>
      <c r="L88" s="9"/>
      <c r="M88" s="9"/>
      <c r="N88" s="9"/>
      <c r="O88" s="9"/>
      <c r="P88" s="716"/>
      <c r="Q88" s="716"/>
      <c r="S88" s="9"/>
      <c r="T88" s="9"/>
      <c r="U88" s="9"/>
      <c r="V88" s="9"/>
      <c r="W88" s="9"/>
      <c r="X88" s="9"/>
      <c r="Y88" s="9"/>
      <c r="Z88" s="9"/>
      <c r="AA88" s="5"/>
      <c r="AB88" s="9"/>
      <c r="AC88" s="9"/>
      <c r="AD88" s="310"/>
    </row>
    <row r="89" spans="2:30" x14ac:dyDescent="0.3">
      <c r="B89" s="5"/>
      <c r="C89" s="348"/>
      <c r="D89" s="348"/>
      <c r="E89" s="349"/>
      <c r="F89" s="349"/>
      <c r="G89" s="9"/>
      <c r="H89" s="9"/>
      <c r="I89" s="9"/>
      <c r="J89" s="9"/>
      <c r="K89" s="9"/>
      <c r="L89" s="9"/>
      <c r="M89" s="9"/>
      <c r="N89" s="9"/>
      <c r="O89" s="9"/>
      <c r="P89" s="716"/>
      <c r="Q89" s="716"/>
      <c r="S89" s="9"/>
      <c r="T89" s="9"/>
      <c r="U89" s="9"/>
      <c r="V89" s="9"/>
      <c r="W89" s="9"/>
      <c r="X89" s="9"/>
      <c r="Y89" s="9"/>
      <c r="Z89" s="9"/>
      <c r="AA89" s="5"/>
      <c r="AB89" s="9"/>
      <c r="AC89" s="9"/>
      <c r="AD89" s="310"/>
    </row>
    <row r="90" spans="2:30" x14ac:dyDescent="0.3">
      <c r="B90" s="5"/>
      <c r="C90" s="348"/>
      <c r="D90" s="348"/>
      <c r="E90" s="349"/>
      <c r="F90" s="349"/>
      <c r="G90" s="9"/>
      <c r="H90" s="9"/>
      <c r="I90" s="9"/>
      <c r="J90" s="9"/>
      <c r="K90" s="9"/>
      <c r="L90" s="9"/>
      <c r="M90" s="9"/>
      <c r="N90" s="9"/>
      <c r="O90" s="9"/>
      <c r="P90" s="716"/>
      <c r="Q90" s="716"/>
      <c r="S90" s="9"/>
      <c r="T90" s="9"/>
      <c r="U90" s="9"/>
      <c r="V90" s="9"/>
      <c r="W90" s="9"/>
      <c r="X90" s="9"/>
      <c r="Y90" s="9"/>
      <c r="Z90" s="9"/>
      <c r="AA90" s="5"/>
      <c r="AB90" s="9"/>
      <c r="AC90" s="9"/>
      <c r="AD90" s="310"/>
    </row>
    <row r="91" spans="2:30" x14ac:dyDescent="0.3">
      <c r="B91" s="5"/>
      <c r="C91" s="348"/>
      <c r="D91" s="348"/>
      <c r="E91" s="349"/>
      <c r="F91" s="349"/>
      <c r="G91" s="9"/>
      <c r="H91" s="9"/>
      <c r="I91" s="9"/>
      <c r="J91" s="9"/>
      <c r="K91" s="9"/>
      <c r="L91" s="9"/>
      <c r="M91" s="9"/>
      <c r="N91" s="9"/>
      <c r="O91" s="9"/>
      <c r="P91" s="716"/>
      <c r="Q91" s="716"/>
      <c r="S91" s="9"/>
      <c r="T91" s="9"/>
      <c r="U91" s="9"/>
      <c r="V91" s="9"/>
      <c r="W91" s="9"/>
      <c r="X91" s="9"/>
      <c r="Y91" s="9"/>
      <c r="Z91" s="9"/>
      <c r="AA91" s="5"/>
      <c r="AB91" s="9"/>
      <c r="AC91" s="9"/>
      <c r="AD91" s="310"/>
    </row>
    <row r="92" spans="2:30" x14ac:dyDescent="0.3">
      <c r="B92" s="5"/>
      <c r="C92" s="348"/>
      <c r="D92" s="348"/>
      <c r="E92" s="349"/>
      <c r="F92" s="349"/>
      <c r="G92" s="9"/>
      <c r="H92" s="9"/>
      <c r="I92" s="9"/>
      <c r="J92" s="9"/>
      <c r="K92" s="9"/>
      <c r="L92" s="9"/>
      <c r="M92" s="9"/>
      <c r="N92" s="9"/>
      <c r="O92" s="9"/>
      <c r="P92" s="716"/>
      <c r="Q92" s="716"/>
      <c r="S92" s="9"/>
      <c r="T92" s="9"/>
      <c r="U92" s="9"/>
      <c r="V92" s="9"/>
      <c r="W92" s="9"/>
      <c r="X92" s="9"/>
      <c r="Y92" s="9"/>
      <c r="Z92" s="9"/>
      <c r="AA92" s="5"/>
      <c r="AB92" s="9"/>
      <c r="AC92" s="9"/>
      <c r="AD92" s="310"/>
    </row>
    <row r="93" spans="2:30" x14ac:dyDescent="0.3">
      <c r="B93" s="5"/>
      <c r="C93" s="348"/>
      <c r="D93" s="348"/>
      <c r="E93" s="349"/>
      <c r="F93" s="349"/>
      <c r="G93" s="9"/>
      <c r="H93" s="9"/>
      <c r="I93" s="9"/>
      <c r="J93" s="9"/>
      <c r="K93" s="9"/>
      <c r="L93" s="9"/>
      <c r="M93" s="9"/>
      <c r="N93" s="9"/>
      <c r="O93" s="9"/>
      <c r="P93" s="716"/>
      <c r="Q93" s="716"/>
      <c r="S93" s="9"/>
      <c r="T93" s="9"/>
      <c r="U93" s="9"/>
      <c r="V93" s="9"/>
      <c r="W93" s="9"/>
      <c r="X93" s="9"/>
      <c r="Y93" s="9"/>
      <c r="Z93" s="9"/>
      <c r="AA93" s="5"/>
      <c r="AB93" s="9"/>
      <c r="AC93" s="9"/>
      <c r="AD93" s="310"/>
    </row>
    <row r="94" spans="2:30" x14ac:dyDescent="0.3">
      <c r="B94" s="5"/>
      <c r="C94" s="348"/>
      <c r="D94" s="348"/>
      <c r="E94" s="349"/>
      <c r="F94" s="349"/>
      <c r="G94" s="9"/>
      <c r="H94" s="9"/>
      <c r="I94" s="9"/>
      <c r="J94" s="9"/>
      <c r="K94" s="9"/>
      <c r="L94" s="9"/>
      <c r="M94" s="9"/>
      <c r="N94" s="9"/>
      <c r="O94" s="9"/>
      <c r="P94" s="716"/>
      <c r="Q94" s="716"/>
      <c r="S94" s="9"/>
      <c r="T94" s="9"/>
      <c r="U94" s="9"/>
      <c r="V94" s="9"/>
      <c r="W94" s="9"/>
      <c r="X94" s="9"/>
      <c r="Y94" s="9"/>
      <c r="Z94" s="9"/>
      <c r="AA94" s="5"/>
      <c r="AB94" s="9"/>
      <c r="AC94" s="9"/>
      <c r="AD94" s="310"/>
    </row>
    <row r="95" spans="2:30" x14ac:dyDescent="0.3">
      <c r="B95" s="5"/>
      <c r="C95" s="348"/>
      <c r="D95" s="348"/>
      <c r="E95" s="349"/>
      <c r="F95" s="349"/>
      <c r="G95" s="9"/>
      <c r="H95" s="9"/>
      <c r="I95" s="9"/>
      <c r="J95" s="9"/>
      <c r="K95" s="9"/>
      <c r="L95" s="9"/>
      <c r="M95" s="9"/>
      <c r="N95" s="9"/>
      <c r="O95" s="9"/>
      <c r="P95" s="716"/>
      <c r="Q95" s="716"/>
      <c r="S95" s="9"/>
      <c r="T95" s="9"/>
      <c r="U95" s="9"/>
      <c r="V95" s="9"/>
      <c r="W95" s="9"/>
      <c r="X95" s="9"/>
      <c r="Y95" s="9"/>
      <c r="Z95" s="9"/>
      <c r="AA95" s="5"/>
      <c r="AB95" s="9"/>
      <c r="AC95" s="9"/>
      <c r="AD95" s="310"/>
    </row>
    <row r="96" spans="2:30" x14ac:dyDescent="0.3">
      <c r="B96" s="5"/>
      <c r="C96" s="348"/>
      <c r="D96" s="348"/>
      <c r="E96" s="349"/>
      <c r="F96" s="349"/>
      <c r="G96" s="9"/>
      <c r="H96" s="9"/>
      <c r="I96" s="9"/>
      <c r="J96" s="9"/>
      <c r="K96" s="9"/>
      <c r="L96" s="9"/>
      <c r="M96" s="9"/>
      <c r="N96" s="9"/>
      <c r="O96" s="9"/>
      <c r="P96" s="716"/>
      <c r="Q96" s="716"/>
      <c r="S96" s="9"/>
      <c r="T96" s="9"/>
      <c r="U96" s="9"/>
      <c r="V96" s="9"/>
      <c r="W96" s="9"/>
      <c r="X96" s="9"/>
      <c r="Y96" s="9"/>
      <c r="Z96" s="9"/>
      <c r="AA96" s="5"/>
      <c r="AB96" s="9"/>
      <c r="AC96" s="9"/>
      <c r="AD96" s="310"/>
    </row>
    <row r="97" spans="2:30" x14ac:dyDescent="0.3">
      <c r="B97" s="5"/>
      <c r="C97" s="348"/>
      <c r="D97" s="348"/>
      <c r="E97" s="349"/>
      <c r="F97" s="349"/>
      <c r="G97" s="9"/>
      <c r="H97" s="9"/>
      <c r="I97" s="9"/>
      <c r="J97" s="9"/>
      <c r="K97" s="9"/>
      <c r="L97" s="9"/>
      <c r="M97" s="9"/>
      <c r="N97" s="9"/>
      <c r="O97" s="9"/>
      <c r="P97" s="716"/>
      <c r="Q97" s="716"/>
      <c r="S97" s="9"/>
      <c r="T97" s="9"/>
      <c r="U97" s="9"/>
      <c r="V97" s="9"/>
      <c r="W97" s="9"/>
      <c r="X97" s="9"/>
      <c r="Y97" s="9"/>
      <c r="Z97" s="9"/>
      <c r="AA97" s="5"/>
      <c r="AB97" s="9"/>
      <c r="AC97" s="9"/>
      <c r="AD97" s="310"/>
    </row>
    <row r="98" spans="2:30" x14ac:dyDescent="0.3">
      <c r="B98" s="5"/>
      <c r="C98" s="348"/>
      <c r="D98" s="348"/>
      <c r="E98" s="349"/>
      <c r="F98" s="349"/>
      <c r="G98" s="9"/>
      <c r="H98" s="9"/>
      <c r="I98" s="9"/>
      <c r="J98" s="9"/>
      <c r="K98" s="9"/>
      <c r="L98" s="9"/>
      <c r="M98" s="9"/>
      <c r="N98" s="9"/>
      <c r="O98" s="9"/>
      <c r="P98" s="716"/>
      <c r="Q98" s="716"/>
      <c r="S98" s="9"/>
      <c r="T98" s="9"/>
      <c r="U98" s="9"/>
      <c r="V98" s="9"/>
      <c r="W98" s="9"/>
      <c r="X98" s="9"/>
      <c r="Y98" s="9"/>
      <c r="Z98" s="9"/>
      <c r="AA98" s="5"/>
      <c r="AB98" s="9"/>
      <c r="AC98" s="9"/>
      <c r="AD98" s="310"/>
    </row>
    <row r="99" spans="2:30" x14ac:dyDescent="0.3">
      <c r="B99" s="5"/>
      <c r="C99" s="348"/>
      <c r="D99" s="348"/>
      <c r="E99" s="349"/>
      <c r="F99" s="349"/>
      <c r="G99" s="9"/>
      <c r="H99" s="9"/>
      <c r="I99" s="9"/>
      <c r="J99" s="9"/>
      <c r="K99" s="9"/>
      <c r="L99" s="9"/>
      <c r="M99" s="9"/>
      <c r="N99" s="9"/>
      <c r="O99" s="9"/>
      <c r="P99" s="716"/>
      <c r="Q99" s="716"/>
      <c r="S99" s="9"/>
      <c r="T99" s="9"/>
      <c r="U99" s="9"/>
      <c r="V99" s="9"/>
      <c r="W99" s="9"/>
      <c r="X99" s="9"/>
      <c r="Y99" s="9"/>
      <c r="Z99" s="9"/>
      <c r="AA99" s="5"/>
      <c r="AB99" s="9"/>
      <c r="AC99" s="9"/>
      <c r="AD99" s="310"/>
    </row>
    <row r="100" spans="2:30" x14ac:dyDescent="0.3">
      <c r="B100" s="5"/>
      <c r="C100" s="348"/>
      <c r="D100" s="348"/>
      <c r="E100" s="349"/>
      <c r="F100" s="349"/>
      <c r="G100" s="9"/>
      <c r="H100" s="9"/>
      <c r="I100" s="9"/>
      <c r="J100" s="9"/>
      <c r="K100" s="9"/>
      <c r="L100" s="9"/>
      <c r="M100" s="9"/>
      <c r="N100" s="9"/>
      <c r="O100" s="9"/>
      <c r="P100" s="716"/>
      <c r="Q100" s="716"/>
      <c r="S100" s="9"/>
      <c r="T100" s="9"/>
      <c r="U100" s="9"/>
      <c r="V100" s="9"/>
      <c r="W100" s="9"/>
      <c r="X100" s="9"/>
      <c r="Y100" s="9"/>
      <c r="Z100" s="9"/>
      <c r="AA100" s="5"/>
      <c r="AB100" s="9"/>
      <c r="AC100" s="9"/>
      <c r="AD100" s="310"/>
    </row>
    <row r="101" spans="2:30" x14ac:dyDescent="0.3">
      <c r="B101" s="5"/>
      <c r="C101" s="348"/>
      <c r="D101" s="348"/>
      <c r="E101" s="349"/>
      <c r="F101" s="349"/>
      <c r="G101" s="9"/>
      <c r="H101" s="9"/>
      <c r="I101" s="9"/>
      <c r="J101" s="9"/>
      <c r="K101" s="9"/>
      <c r="L101" s="9"/>
      <c r="M101" s="9"/>
      <c r="N101" s="9"/>
      <c r="O101" s="9"/>
      <c r="P101" s="716"/>
      <c r="Q101" s="716"/>
      <c r="S101" s="9"/>
      <c r="T101" s="9"/>
      <c r="U101" s="9"/>
      <c r="V101" s="9"/>
      <c r="W101" s="9"/>
      <c r="X101" s="9"/>
      <c r="Y101" s="9"/>
      <c r="Z101" s="9"/>
      <c r="AA101" s="5"/>
      <c r="AB101" s="9"/>
      <c r="AC101" s="9"/>
      <c r="AD101" s="310"/>
    </row>
    <row r="102" spans="2:30" x14ac:dyDescent="0.3">
      <c r="B102" s="5"/>
      <c r="C102" s="348"/>
      <c r="D102" s="348"/>
      <c r="E102" s="349"/>
      <c r="F102" s="349"/>
      <c r="G102" s="9"/>
      <c r="H102" s="9"/>
      <c r="I102" s="9"/>
      <c r="J102" s="9"/>
      <c r="K102" s="9"/>
      <c r="L102" s="9"/>
      <c r="M102" s="9"/>
      <c r="N102" s="9"/>
      <c r="O102" s="9"/>
      <c r="P102" s="716"/>
      <c r="Q102" s="716"/>
      <c r="S102" s="9"/>
      <c r="T102" s="9"/>
      <c r="U102" s="9"/>
      <c r="V102" s="9"/>
      <c r="W102" s="9"/>
      <c r="X102" s="9"/>
      <c r="Y102" s="9"/>
      <c r="Z102" s="9"/>
      <c r="AA102" s="5"/>
      <c r="AB102" s="9"/>
      <c r="AC102" s="9"/>
      <c r="AD102" s="310"/>
    </row>
    <row r="103" spans="2:30" x14ac:dyDescent="0.3">
      <c r="B103" s="5"/>
      <c r="C103" s="348"/>
      <c r="D103" s="348"/>
      <c r="E103" s="349"/>
      <c r="F103" s="349"/>
      <c r="G103" s="9"/>
      <c r="H103" s="9"/>
      <c r="I103" s="9"/>
      <c r="J103" s="9"/>
      <c r="K103" s="9"/>
      <c r="L103" s="9"/>
      <c r="M103" s="9"/>
      <c r="N103" s="9"/>
      <c r="O103" s="9"/>
      <c r="P103" s="716"/>
      <c r="Q103" s="716"/>
      <c r="S103" s="9"/>
      <c r="T103" s="9"/>
      <c r="U103" s="9"/>
      <c r="V103" s="9"/>
      <c r="W103" s="9"/>
      <c r="X103" s="9"/>
      <c r="Y103" s="9"/>
      <c r="Z103" s="9"/>
      <c r="AA103" s="5"/>
      <c r="AB103" s="9"/>
      <c r="AC103" s="9"/>
      <c r="AD103" s="310"/>
    </row>
    <row r="104" spans="2:30" x14ac:dyDescent="0.3">
      <c r="B104" s="5"/>
      <c r="C104" s="348"/>
      <c r="D104" s="348"/>
      <c r="E104" s="349"/>
      <c r="F104" s="349"/>
      <c r="G104" s="9"/>
      <c r="H104" s="9"/>
      <c r="I104" s="9"/>
      <c r="J104" s="9"/>
      <c r="K104" s="9"/>
      <c r="L104" s="9"/>
      <c r="M104" s="9"/>
      <c r="N104" s="9"/>
      <c r="O104" s="9"/>
      <c r="P104" s="716"/>
      <c r="Q104" s="716"/>
      <c r="S104" s="9"/>
      <c r="T104" s="9"/>
      <c r="U104" s="9"/>
      <c r="V104" s="9"/>
      <c r="W104" s="9"/>
      <c r="X104" s="9"/>
      <c r="Y104" s="9"/>
      <c r="Z104" s="9"/>
      <c r="AA104" s="5"/>
      <c r="AB104" s="9"/>
      <c r="AC104" s="9"/>
      <c r="AD104" s="310"/>
    </row>
    <row r="105" spans="2:30" x14ac:dyDescent="0.3">
      <c r="B105" s="5"/>
      <c r="C105" s="348"/>
      <c r="D105" s="348"/>
      <c r="E105" s="349"/>
      <c r="F105" s="349"/>
      <c r="G105" s="9"/>
      <c r="H105" s="9"/>
      <c r="I105" s="9"/>
      <c r="J105" s="9"/>
      <c r="K105" s="9"/>
      <c r="L105" s="9"/>
      <c r="M105" s="9"/>
      <c r="N105" s="9"/>
      <c r="O105" s="9"/>
      <c r="P105" s="716"/>
      <c r="Q105" s="716"/>
      <c r="S105" s="9"/>
      <c r="T105" s="9"/>
      <c r="U105" s="9"/>
      <c r="V105" s="9"/>
      <c r="W105" s="9"/>
      <c r="X105" s="9"/>
      <c r="Y105" s="9"/>
      <c r="Z105" s="9"/>
      <c r="AA105" s="5"/>
      <c r="AB105" s="9"/>
      <c r="AC105" s="9"/>
      <c r="AD105" s="310"/>
    </row>
    <row r="106" spans="2:30" x14ac:dyDescent="0.3">
      <c r="B106" s="5"/>
      <c r="C106" s="348"/>
      <c r="D106" s="348"/>
      <c r="E106" s="349"/>
      <c r="F106" s="349"/>
      <c r="G106" s="9"/>
      <c r="H106" s="9"/>
      <c r="I106" s="9"/>
      <c r="J106" s="9"/>
      <c r="K106" s="9"/>
      <c r="L106" s="9"/>
      <c r="M106" s="9"/>
      <c r="N106" s="9"/>
      <c r="O106" s="9"/>
      <c r="P106" s="716"/>
      <c r="Q106" s="716"/>
      <c r="S106" s="9"/>
      <c r="T106" s="9"/>
      <c r="U106" s="9"/>
      <c r="V106" s="9"/>
      <c r="W106" s="9"/>
      <c r="X106" s="9"/>
      <c r="Y106" s="9"/>
      <c r="Z106" s="9"/>
      <c r="AA106" s="5"/>
      <c r="AB106" s="9"/>
      <c r="AC106" s="9"/>
      <c r="AD106" s="310"/>
    </row>
    <row r="107" spans="2:30" x14ac:dyDescent="0.3">
      <c r="B107" s="5"/>
      <c r="C107" s="348"/>
      <c r="D107" s="348"/>
      <c r="E107" s="349"/>
      <c r="F107" s="349"/>
      <c r="G107" s="9"/>
      <c r="H107" s="9"/>
      <c r="I107" s="9"/>
      <c r="J107" s="9"/>
      <c r="K107" s="9"/>
      <c r="L107" s="9"/>
      <c r="M107" s="9"/>
      <c r="N107" s="9"/>
      <c r="O107" s="9"/>
      <c r="P107" s="716"/>
      <c r="Q107" s="716"/>
      <c r="S107" s="9"/>
      <c r="T107" s="9"/>
      <c r="U107" s="9"/>
      <c r="V107" s="9"/>
      <c r="W107" s="9"/>
      <c r="X107" s="9"/>
      <c r="Y107" s="9"/>
      <c r="Z107" s="9"/>
      <c r="AA107" s="5"/>
      <c r="AB107" s="9"/>
      <c r="AC107" s="9"/>
      <c r="AD107" s="310"/>
    </row>
    <row r="108" spans="2:30" x14ac:dyDescent="0.3">
      <c r="B108" s="5"/>
      <c r="C108" s="348"/>
      <c r="D108" s="348"/>
      <c r="E108" s="349"/>
      <c r="F108" s="349"/>
      <c r="G108" s="9"/>
      <c r="H108" s="9"/>
      <c r="I108" s="9"/>
      <c r="J108" s="9"/>
      <c r="K108" s="9"/>
      <c r="L108" s="9"/>
      <c r="M108" s="9"/>
      <c r="N108" s="9"/>
      <c r="O108" s="9"/>
      <c r="P108" s="716"/>
      <c r="Q108" s="716"/>
      <c r="S108" s="9"/>
      <c r="T108" s="9"/>
      <c r="U108" s="9"/>
      <c r="V108" s="9"/>
      <c r="W108" s="9"/>
      <c r="X108" s="9"/>
      <c r="Y108" s="9"/>
      <c r="Z108" s="9"/>
      <c r="AA108" s="5"/>
      <c r="AB108" s="9"/>
      <c r="AC108" s="9"/>
      <c r="AD108" s="310"/>
    </row>
    <row r="109" spans="2:30" x14ac:dyDescent="0.3">
      <c r="B109" s="5"/>
      <c r="C109" s="348"/>
      <c r="D109" s="348"/>
      <c r="E109" s="349"/>
      <c r="F109" s="349"/>
      <c r="G109" s="9"/>
      <c r="H109" s="9"/>
      <c r="I109" s="9"/>
      <c r="J109" s="9"/>
      <c r="K109" s="9"/>
      <c r="L109" s="9"/>
      <c r="M109" s="9"/>
      <c r="N109" s="9"/>
      <c r="O109" s="9"/>
      <c r="P109" s="716"/>
      <c r="Q109" s="716"/>
      <c r="S109" s="9"/>
      <c r="T109" s="9"/>
      <c r="U109" s="9"/>
      <c r="V109" s="9"/>
      <c r="W109" s="9"/>
      <c r="X109" s="9"/>
      <c r="Y109" s="9"/>
      <c r="Z109" s="9"/>
      <c r="AA109" s="5"/>
      <c r="AB109" s="9"/>
      <c r="AC109" s="9"/>
      <c r="AD109" s="310"/>
    </row>
  </sheetData>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17" id="{1DA35CEF-F083-45EF-B269-FCC900030B1D}">
            <x14:iconSet showValue="0" custom="1">
              <x14:cfvo type="percent">
                <xm:f>0</xm:f>
              </x14:cfvo>
              <x14:cfvo type="num">
                <xm:f>4.5999999999999996</xm:f>
              </x14:cfvo>
              <x14:cfvo type="num">
                <xm:f>7</xm:f>
              </x14:cfvo>
              <x14:cfIcon iconSet="3TrafficLights1" iconId="2"/>
              <x14:cfIcon iconSet="3TrafficLights1" iconId="1"/>
              <x14:cfIcon iconSet="3TrafficLights1" iconId="0"/>
            </x14:iconSet>
          </x14:cfRule>
          <xm:sqref>C76</xm:sqref>
        </x14:conditionalFormatting>
        <x14:conditionalFormatting xmlns:xm="http://schemas.microsoft.com/office/excel/2006/main">
          <x14:cfRule type="iconSet" priority="15" id="{867E6E80-9389-4AC1-B143-A0B8554F16CA}">
            <x14:iconSet showValue="0" custom="1">
              <x14:cfvo type="percent">
                <xm:f>0</xm:f>
              </x14:cfvo>
              <x14:cfvo type="num">
                <xm:f>4.5999999999999996</xm:f>
              </x14:cfvo>
              <x14:cfvo type="num">
                <xm:f>7</xm:f>
              </x14:cfvo>
              <x14:cfIcon iconSet="3TrafficLights1" iconId="2"/>
              <x14:cfIcon iconSet="3TrafficLights1" iconId="1"/>
              <x14:cfIcon iconSet="3TrafficLights1" iconId="0"/>
            </x14:iconSet>
          </x14:cfRule>
          <xm:sqref>C1:C2</xm:sqref>
        </x14:conditionalFormatting>
        <x14:conditionalFormatting xmlns:xm="http://schemas.microsoft.com/office/excel/2006/main">
          <x14:cfRule type="iconSet" priority="3" id="{8CD58AEB-277A-47DB-894A-C8D512CD9A8C}">
            <x14:iconSet showValue="0" custom="1">
              <x14:cfvo type="percent">
                <xm:f>0</xm:f>
              </x14:cfvo>
              <x14:cfvo type="num">
                <xm:f>4.5999999999999996</xm:f>
              </x14:cfvo>
              <x14:cfvo type="num">
                <xm:f>7</xm:f>
              </x14:cfvo>
              <x14:cfIcon iconSet="3TrafficLights1" iconId="2"/>
              <x14:cfIcon iconSet="3TrafficLights1" iconId="1"/>
              <x14:cfIcon iconSet="3TrafficLights1" iconId="0"/>
            </x14:iconSet>
          </x14:cfRule>
          <xm:sqref>D72 D76</xm:sqref>
        </x14:conditionalFormatting>
        <x14:conditionalFormatting xmlns:xm="http://schemas.microsoft.com/office/excel/2006/main">
          <x14:cfRule type="iconSet" priority="2" id="{942B77F0-19BB-4273-B0A4-523E899B7C69}">
            <x14:iconSet showValue="0" custom="1">
              <x14:cfvo type="percent">
                <xm:f>0</xm:f>
              </x14:cfvo>
              <x14:cfvo type="num">
                <xm:f>4.5999999999999996</xm:f>
              </x14:cfvo>
              <x14:cfvo type="num">
                <xm:f>7</xm:f>
              </x14:cfvo>
              <x14:cfIcon iconSet="3TrafficLights1" iconId="2"/>
              <x14:cfIcon iconSet="3TrafficLights1" iconId="1"/>
              <x14:cfIcon iconSet="3TrafficLights1" iconId="0"/>
            </x14:iconSet>
          </x14:cfRule>
          <xm:sqref>D1:D2</xm:sqref>
        </x14:conditionalFormatting>
        <x14:conditionalFormatting xmlns:xm="http://schemas.microsoft.com/office/excel/2006/main">
          <x14:cfRule type="iconSet" priority="1" id="{2FC9F56D-2E43-4CFC-AE4C-A6F0944D3E2F}">
            <x14:iconSet showValue="0" custom="1">
              <x14:cfvo type="percent">
                <xm:f>0</xm:f>
              </x14:cfvo>
              <x14:cfvo type="num">
                <xm:f>4.5999999999999996</xm:f>
              </x14:cfvo>
              <x14:cfvo type="num">
                <xm:f>7</xm:f>
              </x14:cfvo>
              <x14:cfIcon iconSet="3TrafficLights1" iconId="2"/>
              <x14:cfIcon iconSet="3TrafficLights1" iconId="1"/>
              <x14:cfIcon iconSet="3TrafficLights1" iconId="0"/>
            </x14:iconSet>
          </x14:cfRule>
          <xm:sqref>E1:E2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C00000"/>
  </sheetPr>
  <dimension ref="A1:S112"/>
  <sheetViews>
    <sheetView zoomScale="90" zoomScaleNormal="90" workbookViewId="0">
      <selection activeCell="F82" sqref="F82"/>
    </sheetView>
  </sheetViews>
  <sheetFormatPr defaultColWidth="9.109375" defaultRowHeight="14.4" x14ac:dyDescent="0.3"/>
  <cols>
    <col min="1" max="1" width="17.109375" style="9" customWidth="1"/>
    <col min="2" max="2" width="29.33203125" style="9" customWidth="1"/>
    <col min="3" max="4" width="16.33203125" style="9" customWidth="1"/>
    <col min="5" max="5" width="31.5546875" style="9" bestFit="1" customWidth="1"/>
    <col min="6" max="6" width="25.88671875" style="9" customWidth="1"/>
    <col min="7" max="7" width="8.88671875"/>
    <col min="8" max="8" width="25.109375" style="9" customWidth="1"/>
    <col min="9" max="10" width="9.109375" style="118"/>
    <col min="11" max="11" width="15" style="118" customWidth="1"/>
    <col min="12" max="12" width="30.33203125" style="9" customWidth="1"/>
    <col min="13" max="17" width="9.109375" style="9"/>
    <col min="18" max="18" width="22.88671875" style="9" customWidth="1"/>
    <col min="19" max="19" width="29.44140625" style="9" customWidth="1"/>
    <col min="20" max="16384" width="9.109375" style="9"/>
  </cols>
  <sheetData>
    <row r="1" spans="1:19" ht="28.8" x14ac:dyDescent="0.3">
      <c r="A1" s="1110"/>
      <c r="B1" s="1111"/>
      <c r="C1" s="58" t="s">
        <v>153</v>
      </c>
      <c r="D1" s="58" t="s">
        <v>153</v>
      </c>
      <c r="H1" s="353" t="s">
        <v>878</v>
      </c>
    </row>
    <row r="2" spans="1:19" s="60" customFormat="1" ht="68.25" customHeight="1" x14ac:dyDescent="0.3">
      <c r="A2" s="1112" t="s">
        <v>29</v>
      </c>
      <c r="B2" s="1112" t="s">
        <v>154</v>
      </c>
      <c r="C2" s="59" t="s">
        <v>155</v>
      </c>
      <c r="D2" s="59" t="s">
        <v>156</v>
      </c>
      <c r="E2" s="273" t="s">
        <v>878</v>
      </c>
      <c r="F2" s="61" t="s">
        <v>235</v>
      </c>
      <c r="G2"/>
      <c r="H2" s="277"/>
      <c r="I2" s="360" t="s">
        <v>157</v>
      </c>
      <c r="J2" s="360" t="s">
        <v>158</v>
      </c>
      <c r="K2" s="360" t="s">
        <v>8</v>
      </c>
      <c r="L2" s="278" t="s">
        <v>235</v>
      </c>
      <c r="R2" s="22" t="s">
        <v>635</v>
      </c>
      <c r="S2" s="9"/>
    </row>
    <row r="3" spans="1:19" ht="15.75" customHeight="1" x14ac:dyDescent="0.3">
      <c r="A3" s="1113"/>
      <c r="B3" s="1114"/>
      <c r="C3" s="566" t="s">
        <v>7</v>
      </c>
      <c r="D3" s="566" t="s">
        <v>7</v>
      </c>
      <c r="H3" s="280" t="s">
        <v>54</v>
      </c>
      <c r="I3" s="173">
        <f t="shared" ref="I3:I16" si="0">VLOOKUP($H3, $A$4:$D$95, 3, FALSE)</f>
        <v>5.9</v>
      </c>
      <c r="J3" s="173">
        <f t="shared" ref="J3:J16" si="1">VLOOKUP($H3, $A$4:$D$95, 4, FALSE)</f>
        <v>4.0999999999999996</v>
      </c>
      <c r="K3" s="173" t="str">
        <f t="shared" ref="K3:K16" si="2">VLOOKUP($H3, $A$4:$D$95, 2, FALSE)</f>
        <v>2015 DHS</v>
      </c>
      <c r="L3" s="20" t="str">
        <f t="shared" ref="L3:L35" si="3">VLOOKUP(H3, $R$5:$S$75, 2, FALSE)</f>
        <v>South Asia</v>
      </c>
    </row>
    <row r="4" spans="1:19" x14ac:dyDescent="0.3">
      <c r="A4" s="269" t="s">
        <v>54</v>
      </c>
      <c r="B4" s="603" t="s">
        <v>633</v>
      </c>
      <c r="C4" s="606">
        <v>5.9</v>
      </c>
      <c r="D4" s="607">
        <v>4.0999999999999996</v>
      </c>
      <c r="E4" s="5"/>
      <c r="F4" s="9" t="str">
        <f>IFERROR(VLOOKUP(A4, $R$5:$S$75, 2, FALSE), "Not FP2020")</f>
        <v>South Asia</v>
      </c>
      <c r="H4" s="280" t="s">
        <v>30</v>
      </c>
      <c r="I4" s="173">
        <f t="shared" si="0"/>
        <v>15.3</v>
      </c>
      <c r="J4" s="173">
        <f t="shared" si="1"/>
        <v>10.8</v>
      </c>
      <c r="K4" s="173" t="str">
        <f t="shared" si="2"/>
        <v>2014 DHS</v>
      </c>
      <c r="L4" s="20" t="str">
        <f t="shared" si="3"/>
        <v>South Asia</v>
      </c>
      <c r="R4" s="274"/>
      <c r="S4" s="9" t="s">
        <v>643</v>
      </c>
    </row>
    <row r="5" spans="1:19" x14ac:dyDescent="0.3">
      <c r="A5" s="271" t="s">
        <v>160</v>
      </c>
      <c r="B5" s="5" t="s">
        <v>877</v>
      </c>
      <c r="C5" s="419">
        <v>3.8</v>
      </c>
      <c r="D5" s="419">
        <v>7</v>
      </c>
      <c r="E5" s="5" t="s">
        <v>878</v>
      </c>
      <c r="F5" s="9" t="str">
        <f t="shared" ref="F5:F73" si="4">IFERROR(VLOOKUP(A5, $R$5:$S$75, 2, FALSE), "Not FP2020")</f>
        <v>Not FP2020</v>
      </c>
      <c r="H5" s="280" t="s">
        <v>55</v>
      </c>
      <c r="I5" s="173">
        <f t="shared" si="0"/>
        <v>17.3</v>
      </c>
      <c r="J5" s="173">
        <f t="shared" si="1"/>
        <v>5.9</v>
      </c>
      <c r="K5" s="173" t="str">
        <f t="shared" si="2"/>
        <v>2017-18 DHS</v>
      </c>
      <c r="L5" s="20" t="str">
        <f t="shared" si="3"/>
        <v>Western Africa</v>
      </c>
      <c r="R5" s="275" t="s">
        <v>54</v>
      </c>
      <c r="S5" s="9" t="s">
        <v>640</v>
      </c>
    </row>
    <row r="6" spans="1:19" x14ac:dyDescent="0.3">
      <c r="A6" s="271" t="s">
        <v>291</v>
      </c>
      <c r="B6" s="604" t="s">
        <v>634</v>
      </c>
      <c r="C6" s="608">
        <v>28.5</v>
      </c>
      <c r="D6" s="608">
        <v>5.0999999999999996</v>
      </c>
      <c r="E6" s="5"/>
      <c r="F6" s="9" t="str">
        <f t="shared" si="4"/>
        <v>Not FP2020</v>
      </c>
      <c r="H6" s="280" t="s">
        <v>56</v>
      </c>
      <c r="I6" s="173">
        <f t="shared" si="0"/>
        <v>6.4</v>
      </c>
      <c r="J6" s="173">
        <f t="shared" si="1"/>
        <v>11.2</v>
      </c>
      <c r="K6" s="173" t="str">
        <f t="shared" si="2"/>
        <v>2010 MICS</v>
      </c>
      <c r="L6" s="20" t="str">
        <f t="shared" si="3"/>
        <v>South Asia</v>
      </c>
      <c r="R6" s="275" t="s">
        <v>30</v>
      </c>
      <c r="S6" s="9" t="s">
        <v>640</v>
      </c>
    </row>
    <row r="7" spans="1:19" x14ac:dyDescent="0.3">
      <c r="A7" s="271" t="s">
        <v>161</v>
      </c>
      <c r="B7" s="604" t="s">
        <v>634</v>
      </c>
      <c r="C7" s="608">
        <v>5.9</v>
      </c>
      <c r="D7" s="608">
        <v>1.6</v>
      </c>
      <c r="E7" s="5"/>
      <c r="F7" s="9" t="str">
        <f t="shared" si="4"/>
        <v>Not FP2020</v>
      </c>
      <c r="H7" s="280" t="s">
        <v>165</v>
      </c>
      <c r="I7" s="173">
        <f t="shared" si="0"/>
        <v>25.6</v>
      </c>
      <c r="J7" s="173">
        <f t="shared" si="1"/>
        <v>35.6</v>
      </c>
      <c r="K7" s="173" t="str">
        <f t="shared" si="2"/>
        <v>2008 DHS</v>
      </c>
      <c r="L7" s="20" t="str">
        <f t="shared" si="3"/>
        <v>Latin America and Caribbean</v>
      </c>
      <c r="R7" s="275" t="s">
        <v>55</v>
      </c>
      <c r="S7" s="9" t="s">
        <v>243</v>
      </c>
    </row>
    <row r="8" spans="1:19" x14ac:dyDescent="0.3">
      <c r="A8" s="271" t="s">
        <v>162</v>
      </c>
      <c r="B8" s="604" t="s">
        <v>163</v>
      </c>
      <c r="C8" s="608">
        <v>9.3000000000000007</v>
      </c>
      <c r="D8" s="608">
        <v>7.5</v>
      </c>
      <c r="E8" s="5"/>
      <c r="F8" s="9" t="str">
        <f t="shared" si="4"/>
        <v>Not FP2020</v>
      </c>
      <c r="H8" s="280" t="s">
        <v>31</v>
      </c>
      <c r="I8" s="173">
        <f t="shared" si="0"/>
        <v>6.6</v>
      </c>
      <c r="J8" s="173">
        <f t="shared" si="1"/>
        <v>1.6</v>
      </c>
      <c r="K8" s="173" t="str">
        <f t="shared" si="2"/>
        <v>2010 DHS</v>
      </c>
      <c r="L8" s="20" t="str">
        <f t="shared" si="3"/>
        <v>Western Africa</v>
      </c>
      <c r="R8" s="275" t="s">
        <v>56</v>
      </c>
      <c r="S8" s="9" t="s">
        <v>640</v>
      </c>
    </row>
    <row r="9" spans="1:19" x14ac:dyDescent="0.3">
      <c r="A9" s="271" t="s">
        <v>30</v>
      </c>
      <c r="B9" s="604" t="s">
        <v>170</v>
      </c>
      <c r="C9" s="608">
        <v>15.3</v>
      </c>
      <c r="D9" s="608">
        <v>10.8</v>
      </c>
      <c r="E9" s="5"/>
      <c r="F9" s="9" t="str">
        <f t="shared" si="4"/>
        <v>South Asia</v>
      </c>
      <c r="H9" s="280" t="s">
        <v>57</v>
      </c>
      <c r="I9" s="173">
        <f t="shared" si="0"/>
        <v>22.8</v>
      </c>
      <c r="J9" s="173">
        <f t="shared" si="1"/>
        <v>8.9</v>
      </c>
      <c r="K9" s="173" t="str">
        <f t="shared" si="2"/>
        <v>2016-17 DHS</v>
      </c>
      <c r="L9" s="20" t="str">
        <f t="shared" si="3"/>
        <v>Eastern and Southern Africa</v>
      </c>
      <c r="R9" s="275" t="s">
        <v>165</v>
      </c>
      <c r="S9" s="9" t="s">
        <v>642</v>
      </c>
    </row>
    <row r="10" spans="1:19" x14ac:dyDescent="0.3">
      <c r="A10" s="271" t="s">
        <v>55</v>
      </c>
      <c r="B10" s="5" t="s">
        <v>877</v>
      </c>
      <c r="C10" s="419">
        <v>17.3</v>
      </c>
      <c r="D10" s="419">
        <v>5.9</v>
      </c>
      <c r="E10" s="5" t="s">
        <v>878</v>
      </c>
      <c r="F10" s="9" t="str">
        <f t="shared" si="4"/>
        <v>Western Africa</v>
      </c>
      <c r="H10" s="280" t="s">
        <v>58</v>
      </c>
      <c r="I10" s="173">
        <f t="shared" si="0"/>
        <v>9.6999999999999993</v>
      </c>
      <c r="J10" s="173">
        <f t="shared" si="1"/>
        <v>5.8</v>
      </c>
      <c r="K10" s="173" t="str">
        <f t="shared" si="2"/>
        <v>2014 DHS</v>
      </c>
      <c r="L10" s="20" t="str">
        <f t="shared" si="3"/>
        <v>Southeast Asia and Oceania</v>
      </c>
      <c r="R10" s="275" t="s">
        <v>31</v>
      </c>
      <c r="S10" s="9" t="s">
        <v>243</v>
      </c>
    </row>
    <row r="11" spans="1:19" x14ac:dyDescent="0.3">
      <c r="A11" s="271" t="s">
        <v>56</v>
      </c>
      <c r="B11" s="604" t="s">
        <v>715</v>
      </c>
      <c r="C11" s="608">
        <v>6.4</v>
      </c>
      <c r="D11" s="608">
        <v>11.2</v>
      </c>
      <c r="E11" s="5" t="s">
        <v>939</v>
      </c>
      <c r="F11" s="9" t="str">
        <f t="shared" si="4"/>
        <v>South Asia</v>
      </c>
      <c r="H11" s="280" t="s">
        <v>59</v>
      </c>
      <c r="I11" s="173">
        <f t="shared" si="0"/>
        <v>19</v>
      </c>
      <c r="J11" s="173">
        <f t="shared" si="1"/>
        <v>4</v>
      </c>
      <c r="K11" s="173" t="str">
        <f t="shared" si="2"/>
        <v>2018 DHS</v>
      </c>
      <c r="L11" s="20" t="str">
        <f t="shared" si="3"/>
        <v>Central Africa</v>
      </c>
      <c r="R11" s="275" t="s">
        <v>57</v>
      </c>
      <c r="S11" s="9" t="s">
        <v>636</v>
      </c>
    </row>
    <row r="12" spans="1:19" x14ac:dyDescent="0.3">
      <c r="A12" s="271" t="s">
        <v>165</v>
      </c>
      <c r="B12" s="604" t="s">
        <v>167</v>
      </c>
      <c r="C12" s="608">
        <v>25.6</v>
      </c>
      <c r="D12" s="608">
        <v>35.6</v>
      </c>
      <c r="E12" s="5"/>
      <c r="F12" s="9" t="str">
        <f t="shared" si="4"/>
        <v>Latin America and Caribbean</v>
      </c>
      <c r="H12" s="280" t="s">
        <v>521</v>
      </c>
      <c r="I12" s="173">
        <f t="shared" si="0"/>
        <v>16</v>
      </c>
      <c r="J12" s="173">
        <f t="shared" si="1"/>
        <v>7</v>
      </c>
      <c r="K12" s="173" t="str">
        <f t="shared" si="2"/>
        <v>1994-95 DHS</v>
      </c>
      <c r="L12" s="20" t="str">
        <f t="shared" si="3"/>
        <v>Central Africa</v>
      </c>
      <c r="R12" s="275" t="s">
        <v>58</v>
      </c>
      <c r="S12" s="9" t="s">
        <v>641</v>
      </c>
    </row>
    <row r="13" spans="1:19" x14ac:dyDescent="0.3">
      <c r="A13" s="271" t="s">
        <v>168</v>
      </c>
      <c r="B13" s="604" t="s">
        <v>169</v>
      </c>
      <c r="C13" s="608">
        <v>26.1</v>
      </c>
      <c r="D13" s="608">
        <v>22.3</v>
      </c>
      <c r="E13" s="5"/>
      <c r="F13" s="9" t="str">
        <f t="shared" si="4"/>
        <v>Not FP2020</v>
      </c>
      <c r="H13" s="280" t="s">
        <v>60</v>
      </c>
      <c r="I13" s="173">
        <f t="shared" si="0"/>
        <v>10.8</v>
      </c>
      <c r="J13" s="173">
        <f t="shared" si="1"/>
        <v>1.3</v>
      </c>
      <c r="K13" s="173" t="str">
        <f t="shared" si="2"/>
        <v>2014-15 DHS</v>
      </c>
      <c r="L13" s="20" t="str">
        <f t="shared" si="3"/>
        <v>Central Africa</v>
      </c>
      <c r="R13" s="275" t="s">
        <v>59</v>
      </c>
      <c r="S13" s="9" t="s">
        <v>637</v>
      </c>
    </row>
    <row r="14" spans="1:19" x14ac:dyDescent="0.3">
      <c r="A14" s="271" t="s">
        <v>31</v>
      </c>
      <c r="B14" s="5" t="s">
        <v>940</v>
      </c>
      <c r="C14" s="419">
        <v>6.6</v>
      </c>
      <c r="D14" s="419">
        <v>1.6</v>
      </c>
      <c r="E14" s="5" t="s">
        <v>941</v>
      </c>
      <c r="F14" s="9" t="str">
        <f t="shared" si="4"/>
        <v>Western Africa</v>
      </c>
      <c r="H14" s="280" t="s">
        <v>61</v>
      </c>
      <c r="I14" s="173">
        <f t="shared" si="0"/>
        <v>23.6</v>
      </c>
      <c r="J14" s="173">
        <f t="shared" si="1"/>
        <v>6.5</v>
      </c>
      <c r="K14" s="173" t="str">
        <f t="shared" si="2"/>
        <v>2012 DHS</v>
      </c>
      <c r="L14" s="20" t="str">
        <f t="shared" si="3"/>
        <v>Eastern and Southern Africa</v>
      </c>
      <c r="R14" s="275" t="s">
        <v>521</v>
      </c>
      <c r="S14" s="9" t="s">
        <v>637</v>
      </c>
    </row>
    <row r="15" spans="1:19" x14ac:dyDescent="0.3">
      <c r="A15" s="271" t="s">
        <v>57</v>
      </c>
      <c r="B15" s="604" t="s">
        <v>802</v>
      </c>
      <c r="C15" s="608">
        <v>22.8</v>
      </c>
      <c r="D15" s="608">
        <v>8.9</v>
      </c>
      <c r="E15" s="5"/>
      <c r="F15" s="9" t="str">
        <f t="shared" si="4"/>
        <v>Eastern and Southern Africa</v>
      </c>
      <c r="H15" s="280" t="s">
        <v>62</v>
      </c>
      <c r="I15" s="173">
        <f t="shared" si="0"/>
        <v>24.4</v>
      </c>
      <c r="J15" s="173">
        <f t="shared" si="1"/>
        <v>3.7</v>
      </c>
      <c r="K15" s="173" t="str">
        <f t="shared" si="2"/>
        <v>2011-12 DHS</v>
      </c>
      <c r="L15" s="20" t="str">
        <f t="shared" si="3"/>
        <v>Central Africa</v>
      </c>
      <c r="R15" s="275" t="s">
        <v>60</v>
      </c>
      <c r="S15" s="9" t="s">
        <v>637</v>
      </c>
    </row>
    <row r="16" spans="1:19" x14ac:dyDescent="0.3">
      <c r="A16" s="271" t="s">
        <v>58</v>
      </c>
      <c r="B16" s="604" t="s">
        <v>170</v>
      </c>
      <c r="C16" s="608">
        <v>9.6999999999999993</v>
      </c>
      <c r="D16" s="608">
        <v>5.8</v>
      </c>
      <c r="E16" s="5"/>
      <c r="F16" s="9" t="str">
        <f t="shared" si="4"/>
        <v>Southeast Asia and Oceania</v>
      </c>
      <c r="H16" s="280" t="s">
        <v>63</v>
      </c>
      <c r="I16" s="173">
        <f t="shared" si="0"/>
        <v>20.9</v>
      </c>
      <c r="J16" s="173">
        <f t="shared" si="1"/>
        <v>3.3</v>
      </c>
      <c r="K16" s="173" t="str">
        <f t="shared" si="2"/>
        <v>2011-12 DHS</v>
      </c>
      <c r="L16" s="20" t="str">
        <f t="shared" si="3"/>
        <v>Western Africa</v>
      </c>
      <c r="R16" s="275" t="s">
        <v>61</v>
      </c>
      <c r="S16" s="9" t="s">
        <v>636</v>
      </c>
    </row>
    <row r="17" spans="1:19" x14ac:dyDescent="0.3">
      <c r="A17" s="271" t="s">
        <v>59</v>
      </c>
      <c r="B17" s="716" t="s">
        <v>879</v>
      </c>
      <c r="C17" s="716">
        <v>19</v>
      </c>
      <c r="D17" s="716">
        <v>4</v>
      </c>
      <c r="E17" s="205" t="s">
        <v>1194</v>
      </c>
      <c r="F17" s="9" t="str">
        <f t="shared" si="4"/>
        <v>Central Africa</v>
      </c>
      <c r="H17" s="279" t="s">
        <v>64</v>
      </c>
      <c r="I17" s="367">
        <f>VLOOKUP($L17, $B$107:$D$112, 2, FALSE)</f>
        <v>23.714285714285715</v>
      </c>
      <c r="J17" s="367">
        <f>VLOOKUP($L17, $B$107:$D$112, 3, FALSE)</f>
        <v>8.3071428571428552</v>
      </c>
      <c r="K17" s="368" t="s">
        <v>174</v>
      </c>
      <c r="L17" s="20" t="str">
        <f t="shared" si="3"/>
        <v>Eastern and Southern Africa</v>
      </c>
      <c r="R17" s="275" t="s">
        <v>62</v>
      </c>
      <c r="S17" s="9" t="s">
        <v>637</v>
      </c>
    </row>
    <row r="18" spans="1:19" x14ac:dyDescent="0.3">
      <c r="A18" s="271" t="s">
        <v>171</v>
      </c>
      <c r="B18" s="604" t="s">
        <v>172</v>
      </c>
      <c r="C18" s="608">
        <v>19.600000000000001</v>
      </c>
      <c r="D18" s="608">
        <v>17.899999999999999</v>
      </c>
      <c r="E18" s="5"/>
      <c r="F18" s="9" t="str">
        <f t="shared" si="4"/>
        <v>Not FP2020</v>
      </c>
      <c r="H18" s="279" t="s">
        <v>115</v>
      </c>
      <c r="I18" s="367">
        <f>VLOOKUP($L18, $B$107:$D$112, 2, FALSE)</f>
        <v>6.0249999999999995</v>
      </c>
      <c r="J18" s="367">
        <f>VLOOKUP($L18, $B$107:$D$112, 3, FALSE)</f>
        <v>3.4250000000000003</v>
      </c>
      <c r="K18" s="368" t="s">
        <v>176</v>
      </c>
      <c r="L18" s="20" t="str">
        <f t="shared" si="3"/>
        <v>Eastern and Central Asia</v>
      </c>
      <c r="R18" s="275" t="s">
        <v>63</v>
      </c>
      <c r="S18" s="9" t="s">
        <v>243</v>
      </c>
    </row>
    <row r="19" spans="1:19" x14ac:dyDescent="0.3">
      <c r="A19" s="271" t="s">
        <v>521</v>
      </c>
      <c r="B19" s="604" t="s">
        <v>173</v>
      </c>
      <c r="C19" s="608">
        <v>16</v>
      </c>
      <c r="D19" s="608">
        <v>7</v>
      </c>
      <c r="E19" s="5"/>
      <c r="F19" s="9" t="str">
        <f t="shared" si="4"/>
        <v>Central Africa</v>
      </c>
      <c r="H19" s="280" t="s">
        <v>178</v>
      </c>
      <c r="I19" s="173">
        <f t="shared" ref="I19:I49" si="5">VLOOKUP($H19, $A$5:$D$95, 3, FALSE)</f>
        <v>24</v>
      </c>
      <c r="J19" s="173">
        <f t="shared" ref="J19:J49" si="6">VLOOKUP($H19, $A$5:$D$95, 4, FALSE)</f>
        <v>4.8</v>
      </c>
      <c r="K19" s="173" t="str">
        <f>VLOOKUP($H19, $A$5:$D$95, 2, FALSE)</f>
        <v>2013-14 DHS</v>
      </c>
      <c r="L19" s="20" t="str">
        <f t="shared" si="3"/>
        <v>Central Africa</v>
      </c>
      <c r="R19" s="275" t="s">
        <v>64</v>
      </c>
      <c r="S19" s="9" t="s">
        <v>636</v>
      </c>
    </row>
    <row r="20" spans="1:19" x14ac:dyDescent="0.3">
      <c r="A20" s="271" t="s">
        <v>60</v>
      </c>
      <c r="B20" s="604" t="s">
        <v>630</v>
      </c>
      <c r="C20" s="608">
        <v>10.8</v>
      </c>
      <c r="D20" s="608">
        <v>1.3</v>
      </c>
      <c r="E20" s="5"/>
      <c r="F20" s="9" t="str">
        <f t="shared" si="4"/>
        <v>Central Africa</v>
      </c>
      <c r="H20" s="280" t="s">
        <v>65</v>
      </c>
      <c r="I20" s="173">
        <f t="shared" si="5"/>
        <v>7.4</v>
      </c>
      <c r="J20" s="173">
        <f t="shared" si="6"/>
        <v>8.3000000000000007</v>
      </c>
      <c r="K20" s="173" t="str">
        <f>VLOOKUP($H20, $A$5:$D$95, 2, FALSE)</f>
        <v>2014 DHS</v>
      </c>
      <c r="L20" s="20" t="str">
        <f t="shared" si="3"/>
        <v>Middle East and Northern Africa</v>
      </c>
      <c r="R20" s="275" t="s">
        <v>115</v>
      </c>
      <c r="S20" s="9" t="s">
        <v>639</v>
      </c>
    </row>
    <row r="21" spans="1:19" x14ac:dyDescent="0.3">
      <c r="A21" s="271" t="s">
        <v>175</v>
      </c>
      <c r="B21" s="604" t="s">
        <v>633</v>
      </c>
      <c r="C21" s="608">
        <v>29.1</v>
      </c>
      <c r="D21" s="608">
        <v>21.3</v>
      </c>
      <c r="E21" s="5"/>
      <c r="F21" s="9" t="str">
        <f t="shared" si="4"/>
        <v>Not FP2020</v>
      </c>
      <c r="H21" s="280" t="s">
        <v>66</v>
      </c>
      <c r="I21" s="173">
        <f t="shared" si="5"/>
        <v>19.5</v>
      </c>
      <c r="J21" s="173">
        <f t="shared" si="6"/>
        <v>5.9</v>
      </c>
      <c r="K21" s="173" t="str">
        <f>VLOOKUP($H21, $A$5:$D$95, 2, FALSE)</f>
        <v>2002 DHS</v>
      </c>
      <c r="L21" s="20" t="str">
        <f t="shared" si="3"/>
        <v>Eastern and Southern Africa</v>
      </c>
      <c r="R21" s="275" t="s">
        <v>178</v>
      </c>
      <c r="S21" s="9" t="s">
        <v>637</v>
      </c>
    </row>
    <row r="22" spans="1:19" x14ac:dyDescent="0.3">
      <c r="A22" s="271" t="s">
        <v>61</v>
      </c>
      <c r="B22" s="604" t="s">
        <v>177</v>
      </c>
      <c r="C22" s="608">
        <v>23.6</v>
      </c>
      <c r="D22" s="608">
        <v>6.5</v>
      </c>
      <c r="E22" s="5"/>
      <c r="F22" s="9" t="str">
        <f t="shared" si="4"/>
        <v>Eastern and Southern Africa</v>
      </c>
      <c r="H22" s="280" t="s">
        <v>32</v>
      </c>
      <c r="I22" s="173">
        <f t="shared" si="5"/>
        <v>17.100000000000001</v>
      </c>
      <c r="J22" s="173">
        <f t="shared" si="6"/>
        <v>8.3000000000000007</v>
      </c>
      <c r="K22" s="173" t="str">
        <f>VLOOKUP($H22, $A$5:$D$95, 2, FALSE)</f>
        <v>2016 DHS</v>
      </c>
      <c r="L22" s="20" t="str">
        <f t="shared" si="3"/>
        <v>Eastern and Southern Africa</v>
      </c>
      <c r="R22" s="275" t="s">
        <v>65</v>
      </c>
      <c r="S22" s="9" t="s">
        <v>638</v>
      </c>
    </row>
    <row r="23" spans="1:19" x14ac:dyDescent="0.3">
      <c r="A23" s="271" t="s">
        <v>62</v>
      </c>
      <c r="B23" s="5" t="s">
        <v>166</v>
      </c>
      <c r="C23" s="419">
        <v>24.4</v>
      </c>
      <c r="D23" s="419">
        <v>3.7</v>
      </c>
      <c r="E23" s="5" t="s">
        <v>941</v>
      </c>
      <c r="F23" s="9" t="str">
        <f t="shared" si="4"/>
        <v>Central Africa</v>
      </c>
      <c r="H23" s="281" t="s">
        <v>67</v>
      </c>
      <c r="I23" s="172">
        <f t="shared" si="5"/>
        <v>18.899999999999999</v>
      </c>
      <c r="J23" s="173">
        <f t="shared" si="6"/>
        <v>2.2000000000000002</v>
      </c>
      <c r="K23" s="172" t="s">
        <v>180</v>
      </c>
      <c r="L23" s="20" t="str">
        <f t="shared" si="3"/>
        <v>Western Africa</v>
      </c>
      <c r="R23" s="275" t="s">
        <v>66</v>
      </c>
      <c r="S23" s="9" t="s">
        <v>636</v>
      </c>
    </row>
    <row r="24" spans="1:19" x14ac:dyDescent="0.3">
      <c r="A24" s="271" t="s">
        <v>63</v>
      </c>
      <c r="B24" s="5" t="s">
        <v>166</v>
      </c>
      <c r="C24" s="419">
        <v>20.9</v>
      </c>
      <c r="D24" s="419">
        <v>3.3</v>
      </c>
      <c r="E24" s="5" t="s">
        <v>941</v>
      </c>
      <c r="F24" s="9" t="str">
        <f t="shared" si="4"/>
        <v>Western Africa</v>
      </c>
      <c r="H24" s="280" t="s">
        <v>33</v>
      </c>
      <c r="I24" s="173">
        <f t="shared" si="5"/>
        <v>23.6</v>
      </c>
      <c r="J24" s="173">
        <f t="shared" si="6"/>
        <v>7.3</v>
      </c>
      <c r="K24" s="173" t="str">
        <f t="shared" ref="K24:K49" si="7">VLOOKUP($H24, $A$5:$D$95, 2, FALSE)</f>
        <v>2014 DHS</v>
      </c>
      <c r="L24" s="20" t="str">
        <f t="shared" si="3"/>
        <v>Western Africa</v>
      </c>
      <c r="R24" s="275" t="s">
        <v>32</v>
      </c>
      <c r="S24" s="9" t="s">
        <v>636</v>
      </c>
    </row>
    <row r="25" spans="1:19" x14ac:dyDescent="0.3">
      <c r="A25" s="271" t="s">
        <v>179</v>
      </c>
      <c r="B25" s="604" t="s">
        <v>180</v>
      </c>
      <c r="C25" s="608">
        <v>35</v>
      </c>
      <c r="D25" s="608">
        <v>12.7</v>
      </c>
      <c r="E25" s="5"/>
      <c r="F25" s="9" t="str">
        <f t="shared" si="4"/>
        <v>Not FP2020</v>
      </c>
      <c r="H25" s="280" t="s">
        <v>68</v>
      </c>
      <c r="I25" s="173">
        <f t="shared" si="5"/>
        <v>11.1</v>
      </c>
      <c r="J25" s="173">
        <f t="shared" si="6"/>
        <v>3.3</v>
      </c>
      <c r="K25" s="173" t="str">
        <f t="shared" si="7"/>
        <v>2018 DHS</v>
      </c>
      <c r="L25" s="20" t="str">
        <f t="shared" si="3"/>
        <v>Western Africa</v>
      </c>
      <c r="R25" s="275" t="s">
        <v>67</v>
      </c>
      <c r="S25" s="9" t="s">
        <v>243</v>
      </c>
    </row>
    <row r="26" spans="1:19" x14ac:dyDescent="0.3">
      <c r="A26" s="271" t="s">
        <v>178</v>
      </c>
      <c r="B26" s="604" t="s">
        <v>181</v>
      </c>
      <c r="C26" s="608">
        <v>24</v>
      </c>
      <c r="D26" s="608">
        <v>4.8</v>
      </c>
      <c r="E26" s="5"/>
      <c r="F26" s="9" t="str">
        <f t="shared" si="4"/>
        <v>Central Africa</v>
      </c>
      <c r="H26" s="280" t="s">
        <v>69</v>
      </c>
      <c r="I26" s="173">
        <f t="shared" si="5"/>
        <v>13.7</v>
      </c>
      <c r="J26" s="173">
        <f t="shared" si="6"/>
        <v>4.5999999999999996</v>
      </c>
      <c r="K26" s="173" t="str">
        <f t="shared" si="7"/>
        <v>2014 MICS</v>
      </c>
      <c r="L26" s="20" t="str">
        <f t="shared" si="3"/>
        <v>Western Africa</v>
      </c>
      <c r="R26" s="275" t="s">
        <v>33</v>
      </c>
      <c r="S26" s="9" t="s">
        <v>243</v>
      </c>
    </row>
    <row r="27" spans="1:19" x14ac:dyDescent="0.3">
      <c r="A27" s="271" t="s">
        <v>182</v>
      </c>
      <c r="B27" s="604" t="s">
        <v>183</v>
      </c>
      <c r="C27" s="608">
        <v>17.600000000000001</v>
      </c>
      <c r="D27" s="608">
        <v>18.7</v>
      </c>
      <c r="E27" s="5"/>
      <c r="F27" s="9" t="str">
        <f t="shared" si="4"/>
        <v>Not FP2020</v>
      </c>
      <c r="H27" s="280" t="s">
        <v>70</v>
      </c>
      <c r="I27" s="173">
        <f t="shared" si="5"/>
        <v>32.1</v>
      </c>
      <c r="J27" s="173">
        <f t="shared" si="6"/>
        <v>24.6</v>
      </c>
      <c r="K27" s="173" t="str">
        <f t="shared" si="7"/>
        <v>2016-17 DHS</v>
      </c>
      <c r="L27" s="20" t="str">
        <f t="shared" si="3"/>
        <v>Latin America and Caribbean</v>
      </c>
      <c r="R27" s="275" t="s">
        <v>68</v>
      </c>
      <c r="S27" s="9" t="s">
        <v>243</v>
      </c>
    </row>
    <row r="28" spans="1:19" x14ac:dyDescent="0.3">
      <c r="A28" s="271" t="s">
        <v>65</v>
      </c>
      <c r="B28" s="604" t="s">
        <v>170</v>
      </c>
      <c r="C28" s="608">
        <v>7.4</v>
      </c>
      <c r="D28" s="608">
        <v>8.3000000000000007</v>
      </c>
      <c r="E28" s="5"/>
      <c r="F28" s="9" t="str">
        <f t="shared" si="4"/>
        <v>Middle East and Northern Africa</v>
      </c>
      <c r="H28" s="280" t="s">
        <v>71</v>
      </c>
      <c r="I28" s="173">
        <f t="shared" si="5"/>
        <v>29.3</v>
      </c>
      <c r="J28" s="173">
        <f t="shared" si="6"/>
        <v>13</v>
      </c>
      <c r="K28" s="173" t="str">
        <f t="shared" si="7"/>
        <v>2011-12 DHS</v>
      </c>
      <c r="L28" s="20" t="str">
        <f t="shared" si="3"/>
        <v>Latin America and Caribbean</v>
      </c>
      <c r="R28" s="275" t="s">
        <v>69</v>
      </c>
      <c r="S28" s="9" t="s">
        <v>243</v>
      </c>
    </row>
    <row r="29" spans="1:19" x14ac:dyDescent="0.3">
      <c r="A29" s="271" t="s">
        <v>184</v>
      </c>
      <c r="B29" s="604" t="s">
        <v>185</v>
      </c>
      <c r="C29" s="608">
        <v>19.7</v>
      </c>
      <c r="D29" s="608">
        <v>18.8</v>
      </c>
      <c r="E29" s="5"/>
      <c r="F29" s="9" t="str">
        <f t="shared" si="4"/>
        <v>Not FP2020</v>
      </c>
      <c r="H29" s="280" t="s">
        <v>34</v>
      </c>
      <c r="I29" s="173">
        <f t="shared" si="5"/>
        <v>4.2</v>
      </c>
      <c r="J29" s="173">
        <f t="shared" si="6"/>
        <v>4.5</v>
      </c>
      <c r="K29" s="173" t="str">
        <f t="shared" si="7"/>
        <v>2015-16 DHS</v>
      </c>
      <c r="L29" s="20" t="str">
        <f t="shared" si="3"/>
        <v>South Asia</v>
      </c>
      <c r="R29" s="275" t="s">
        <v>70</v>
      </c>
      <c r="S29" s="9" t="s">
        <v>642</v>
      </c>
    </row>
    <row r="30" spans="1:19" x14ac:dyDescent="0.3">
      <c r="A30" s="271" t="s">
        <v>66</v>
      </c>
      <c r="B30" s="604" t="s">
        <v>186</v>
      </c>
      <c r="C30" s="608">
        <v>19.5</v>
      </c>
      <c r="D30" s="608">
        <v>5.9</v>
      </c>
      <c r="E30" s="5"/>
      <c r="F30" s="9" t="str">
        <f t="shared" si="4"/>
        <v>Eastern and Southern Africa</v>
      </c>
      <c r="H30" s="280" t="s">
        <v>35</v>
      </c>
      <c r="I30" s="173">
        <f t="shared" si="5"/>
        <v>8.1</v>
      </c>
      <c r="J30" s="173">
        <f t="shared" si="6"/>
        <v>7.1</v>
      </c>
      <c r="K30" s="173" t="str">
        <f t="shared" si="7"/>
        <v>2017 DHS</v>
      </c>
      <c r="L30" s="20" t="str">
        <f t="shared" si="3"/>
        <v>Southeast Asia and Oceania</v>
      </c>
      <c r="R30" s="275" t="s">
        <v>71</v>
      </c>
      <c r="S30" s="9" t="s">
        <v>642</v>
      </c>
    </row>
    <row r="31" spans="1:19" x14ac:dyDescent="0.3">
      <c r="A31" s="271" t="s">
        <v>32</v>
      </c>
      <c r="B31" s="604" t="s">
        <v>713</v>
      </c>
      <c r="C31" s="608">
        <v>17.100000000000001</v>
      </c>
      <c r="D31" s="608">
        <v>8.3000000000000007</v>
      </c>
      <c r="E31" s="5"/>
      <c r="F31" s="9" t="str">
        <f t="shared" si="4"/>
        <v>Eastern and Southern Africa</v>
      </c>
      <c r="H31" s="280" t="s">
        <v>72</v>
      </c>
      <c r="I31" s="173">
        <f t="shared" si="5"/>
        <v>9.4</v>
      </c>
      <c r="J31" s="173">
        <f t="shared" si="6"/>
        <v>11.1</v>
      </c>
      <c r="K31" s="173" t="str">
        <f t="shared" si="7"/>
        <v>2018 MICS</v>
      </c>
      <c r="L31" s="20" t="str">
        <f t="shared" si="3"/>
        <v>Middle East and Northern Africa</v>
      </c>
      <c r="R31" s="276" t="s">
        <v>34</v>
      </c>
      <c r="S31" s="9" t="s">
        <v>640</v>
      </c>
    </row>
    <row r="32" spans="1:19" x14ac:dyDescent="0.3">
      <c r="A32" s="271" t="s">
        <v>187</v>
      </c>
      <c r="B32" s="604" t="s">
        <v>177</v>
      </c>
      <c r="C32" s="608">
        <v>33.6</v>
      </c>
      <c r="D32" s="608">
        <v>5.4</v>
      </c>
      <c r="E32" s="5"/>
      <c r="F32" s="9" t="str">
        <f t="shared" si="4"/>
        <v>Not FP2020</v>
      </c>
      <c r="H32" s="280" t="s">
        <v>195</v>
      </c>
      <c r="I32" s="173">
        <f t="shared" si="5"/>
        <v>7.7</v>
      </c>
      <c r="J32" s="173">
        <f t="shared" si="6"/>
        <v>5.9</v>
      </c>
      <c r="K32" s="173" t="str">
        <f t="shared" si="7"/>
        <v>2017-18 DHS</v>
      </c>
      <c r="L32" s="20" t="str">
        <f>VLOOKUP(H32, $R$5:$S$75, 2, FALSE)</f>
        <v>n/a</v>
      </c>
      <c r="R32" s="275" t="s">
        <v>35</v>
      </c>
      <c r="S32" s="9" t="s">
        <v>641</v>
      </c>
    </row>
    <row r="33" spans="1:19" x14ac:dyDescent="0.3">
      <c r="A33" s="366" t="s">
        <v>67</v>
      </c>
      <c r="B33" s="205" t="s">
        <v>1193</v>
      </c>
      <c r="C33" s="205">
        <v>18.899999999999999</v>
      </c>
      <c r="D33" s="205">
        <v>2.2000000000000002</v>
      </c>
      <c r="E33" s="205" t="s">
        <v>1194</v>
      </c>
      <c r="F33" s="9" t="str">
        <f t="shared" si="4"/>
        <v>Western Africa</v>
      </c>
      <c r="H33" s="280" t="s">
        <v>36</v>
      </c>
      <c r="I33" s="173">
        <f t="shared" si="5"/>
        <v>25.4</v>
      </c>
      <c r="J33" s="173">
        <f t="shared" si="6"/>
        <v>10.3</v>
      </c>
      <c r="K33" s="173" t="str">
        <f t="shared" si="7"/>
        <v>2014 DHS</v>
      </c>
      <c r="L33" s="20" t="str">
        <f t="shared" si="3"/>
        <v>Eastern and Southern Africa</v>
      </c>
      <c r="R33" s="275" t="s">
        <v>72</v>
      </c>
      <c r="S33" s="9" t="s">
        <v>638</v>
      </c>
    </row>
    <row r="34" spans="1:19" x14ac:dyDescent="0.3">
      <c r="A34" s="271" t="s">
        <v>188</v>
      </c>
      <c r="B34" s="604" t="s">
        <v>189</v>
      </c>
      <c r="C34" s="608">
        <v>2.2000000000000002</v>
      </c>
      <c r="D34" s="608">
        <v>1.7</v>
      </c>
      <c r="E34" s="5"/>
      <c r="F34" s="9" t="str">
        <f t="shared" si="4"/>
        <v>Not FP2020</v>
      </c>
      <c r="H34" s="280" t="s">
        <v>796</v>
      </c>
      <c r="I34" s="173">
        <f t="shared" si="5"/>
        <v>2.9</v>
      </c>
      <c r="J34" s="173">
        <f t="shared" si="6"/>
        <v>0.8</v>
      </c>
      <c r="K34" s="173" t="str">
        <f t="shared" si="7"/>
        <v>2012 DHS</v>
      </c>
      <c r="L34" s="20" t="str">
        <f t="shared" si="3"/>
        <v>Eastern and Central Asia</v>
      </c>
      <c r="R34" s="275" t="s">
        <v>36</v>
      </c>
      <c r="S34" s="9" t="s">
        <v>636</v>
      </c>
    </row>
    <row r="35" spans="1:19" x14ac:dyDescent="0.3">
      <c r="A35" s="271" t="s">
        <v>33</v>
      </c>
      <c r="B35" s="604" t="s">
        <v>170</v>
      </c>
      <c r="C35" s="608">
        <v>23.6</v>
      </c>
      <c r="D35" s="608">
        <v>7.3</v>
      </c>
      <c r="E35" s="5"/>
      <c r="F35" s="9" t="str">
        <f t="shared" si="4"/>
        <v>Western Africa</v>
      </c>
      <c r="H35" s="280" t="s">
        <v>116</v>
      </c>
      <c r="I35" s="173">
        <f t="shared" si="5"/>
        <v>15.6</v>
      </c>
      <c r="J35" s="173">
        <f t="shared" si="6"/>
        <v>8.6999999999999993</v>
      </c>
      <c r="K35" s="173" t="str">
        <f t="shared" si="7"/>
        <v>2017 MICS</v>
      </c>
      <c r="L35" s="20" t="str">
        <f t="shared" si="3"/>
        <v>Southeast Asia and Oceania</v>
      </c>
      <c r="R35" s="275" t="s">
        <v>796</v>
      </c>
      <c r="S35" s="9" t="s">
        <v>639</v>
      </c>
    </row>
    <row r="36" spans="1:19" x14ac:dyDescent="0.3">
      <c r="A36" s="271" t="s">
        <v>190</v>
      </c>
      <c r="B36" s="604" t="s">
        <v>630</v>
      </c>
      <c r="C36" s="608">
        <v>20.9</v>
      </c>
      <c r="D36" s="608">
        <v>14.7</v>
      </c>
      <c r="E36" s="5"/>
      <c r="F36" s="9" t="str">
        <f t="shared" si="4"/>
        <v>Not FP2020</v>
      </c>
      <c r="H36" s="280" t="s">
        <v>73</v>
      </c>
      <c r="I36" s="173">
        <f t="shared" si="5"/>
        <v>29.9</v>
      </c>
      <c r="J36" s="173">
        <f t="shared" si="6"/>
        <v>21.6</v>
      </c>
      <c r="K36" s="173" t="str">
        <f t="shared" si="7"/>
        <v>2014 DHS</v>
      </c>
      <c r="L36" s="20" t="str">
        <f t="shared" ref="L36:L42" si="8">VLOOKUP(H36, $R$5:$S$75, 2, FALSE)</f>
        <v>Eastern and Southern Africa</v>
      </c>
      <c r="R36" s="275" t="s">
        <v>116</v>
      </c>
      <c r="S36" s="9" t="s">
        <v>641</v>
      </c>
    </row>
    <row r="37" spans="1:19" x14ac:dyDescent="0.3">
      <c r="A37" s="271" t="s">
        <v>68</v>
      </c>
      <c r="B37" s="604" t="s">
        <v>879</v>
      </c>
      <c r="C37" s="608">
        <v>11.1</v>
      </c>
      <c r="D37" s="608">
        <v>3.3</v>
      </c>
      <c r="E37" s="5" t="s">
        <v>878</v>
      </c>
      <c r="F37" s="9" t="str">
        <f t="shared" si="4"/>
        <v>Western Africa</v>
      </c>
      <c r="H37" s="280" t="s">
        <v>74</v>
      </c>
      <c r="I37" s="173">
        <f t="shared" si="5"/>
        <v>34.6</v>
      </c>
      <c r="J37" s="173">
        <f t="shared" si="6"/>
        <v>7.6</v>
      </c>
      <c r="K37" s="173" t="str">
        <f t="shared" si="7"/>
        <v>2019-20 DHS</v>
      </c>
      <c r="L37" s="20" t="str">
        <f t="shared" si="8"/>
        <v>Western Africa</v>
      </c>
      <c r="R37" s="275" t="s">
        <v>73</v>
      </c>
      <c r="S37" s="9" t="s">
        <v>636</v>
      </c>
    </row>
    <row r="38" spans="1:19" x14ac:dyDescent="0.3">
      <c r="A38" s="271" t="s">
        <v>69</v>
      </c>
      <c r="B38" s="604" t="s">
        <v>714</v>
      </c>
      <c r="C38" s="608">
        <v>13.7</v>
      </c>
      <c r="D38" s="608">
        <v>4.5999999999999996</v>
      </c>
      <c r="E38" s="5" t="s">
        <v>939</v>
      </c>
      <c r="F38" s="9" t="str">
        <f t="shared" si="4"/>
        <v>Western Africa</v>
      </c>
      <c r="H38" s="280" t="s">
        <v>75</v>
      </c>
      <c r="I38" s="173">
        <f t="shared" si="5"/>
        <v>10.1</v>
      </c>
      <c r="J38" s="173">
        <f t="shared" si="6"/>
        <v>3.5</v>
      </c>
      <c r="K38" s="173" t="str">
        <f t="shared" si="7"/>
        <v>2018 MICS</v>
      </c>
      <c r="L38" s="20" t="str">
        <f t="shared" si="8"/>
        <v>Eastern and Southern Africa</v>
      </c>
      <c r="R38" s="275" t="s">
        <v>74</v>
      </c>
      <c r="S38" s="9" t="s">
        <v>243</v>
      </c>
    </row>
    <row r="39" spans="1:19" x14ac:dyDescent="0.3">
      <c r="A39" s="271" t="s">
        <v>192</v>
      </c>
      <c r="B39" s="604" t="s">
        <v>193</v>
      </c>
      <c r="C39" s="608">
        <v>21.7</v>
      </c>
      <c r="D39" s="608">
        <v>17.600000000000001</v>
      </c>
      <c r="E39" s="5"/>
      <c r="F39" s="9" t="str">
        <f t="shared" si="4"/>
        <v>Not FP2020</v>
      </c>
      <c r="H39" s="280" t="s">
        <v>37</v>
      </c>
      <c r="I39" s="173">
        <f t="shared" si="5"/>
        <v>29.8</v>
      </c>
      <c r="J39" s="173">
        <f t="shared" si="6"/>
        <v>11.1</v>
      </c>
      <c r="K39" s="173" t="str">
        <f t="shared" si="7"/>
        <v>2015-16 DHS</v>
      </c>
      <c r="L39" s="20" t="str">
        <f t="shared" si="8"/>
        <v>Eastern and Southern Africa</v>
      </c>
      <c r="R39" s="275" t="s">
        <v>75</v>
      </c>
      <c r="S39" s="9" t="s">
        <v>636</v>
      </c>
    </row>
    <row r="40" spans="1:19" x14ac:dyDescent="0.3">
      <c r="A40" s="271" t="s">
        <v>70</v>
      </c>
      <c r="B40" s="604" t="s">
        <v>802</v>
      </c>
      <c r="C40" s="608">
        <v>32.1</v>
      </c>
      <c r="D40" s="608">
        <v>24.6</v>
      </c>
      <c r="E40" s="5"/>
      <c r="F40" s="9" t="str">
        <f t="shared" si="4"/>
        <v>Latin America and Caribbean</v>
      </c>
      <c r="H40" s="280" t="s">
        <v>76</v>
      </c>
      <c r="I40" s="173">
        <f t="shared" si="5"/>
        <v>11.4</v>
      </c>
      <c r="J40" s="173">
        <f t="shared" si="6"/>
        <v>2.6</v>
      </c>
      <c r="K40" s="173" t="str">
        <f t="shared" si="7"/>
        <v>2018 DHS</v>
      </c>
      <c r="L40" s="20" t="str">
        <f t="shared" si="8"/>
        <v>Western Africa</v>
      </c>
      <c r="R40" s="275" t="s">
        <v>37</v>
      </c>
      <c r="S40" s="9" t="s">
        <v>636</v>
      </c>
    </row>
    <row r="41" spans="1:19" x14ac:dyDescent="0.3">
      <c r="A41" s="271" t="s">
        <v>71</v>
      </c>
      <c r="B41" s="604" t="s">
        <v>166</v>
      </c>
      <c r="C41" s="608">
        <v>29.3</v>
      </c>
      <c r="D41" s="608">
        <v>13</v>
      </c>
      <c r="E41" s="5"/>
      <c r="F41" s="9" t="str">
        <f t="shared" si="4"/>
        <v>Latin America and Caribbean</v>
      </c>
      <c r="H41" s="280" t="s">
        <v>77</v>
      </c>
      <c r="I41" s="173">
        <f t="shared" si="5"/>
        <v>19.399999999999999</v>
      </c>
      <c r="J41" s="173">
        <f t="shared" si="6"/>
        <v>6</v>
      </c>
      <c r="K41" s="173" t="str">
        <f t="shared" si="7"/>
        <v>2015 MICS</v>
      </c>
      <c r="L41" s="20" t="str">
        <f t="shared" si="8"/>
        <v>Western Africa</v>
      </c>
      <c r="R41" s="275" t="s">
        <v>76</v>
      </c>
      <c r="S41" s="9" t="s">
        <v>243</v>
      </c>
    </row>
    <row r="42" spans="1:19" x14ac:dyDescent="0.3">
      <c r="A42" s="271" t="s">
        <v>72</v>
      </c>
      <c r="B42" s="604" t="s">
        <v>870</v>
      </c>
      <c r="C42" s="419">
        <v>9.4</v>
      </c>
      <c r="D42" s="419">
        <v>11.1</v>
      </c>
      <c r="E42" s="5" t="s">
        <v>939</v>
      </c>
      <c r="F42" s="9" t="str">
        <f t="shared" si="4"/>
        <v>Middle East and Northern Africa</v>
      </c>
      <c r="G42" s="9"/>
      <c r="H42" s="280" t="s">
        <v>78</v>
      </c>
      <c r="I42" s="173">
        <f t="shared" si="5"/>
        <v>16.3</v>
      </c>
      <c r="J42" s="173">
        <f t="shared" si="6"/>
        <v>8.8000000000000007</v>
      </c>
      <c r="K42" s="173" t="str">
        <f t="shared" si="7"/>
        <v>2018 MICS</v>
      </c>
      <c r="L42" s="20" t="str">
        <f t="shared" si="8"/>
        <v>Eastern and Central Asia</v>
      </c>
      <c r="R42" s="275" t="s">
        <v>195</v>
      </c>
      <c r="S42" s="9" t="s">
        <v>644</v>
      </c>
    </row>
    <row r="43" spans="1:19" x14ac:dyDescent="0.3">
      <c r="A43" s="271" t="s">
        <v>34</v>
      </c>
      <c r="B43" s="604" t="s">
        <v>634</v>
      </c>
      <c r="C43" s="608">
        <v>4.2</v>
      </c>
      <c r="D43" s="608">
        <v>4.5</v>
      </c>
      <c r="E43" s="5"/>
      <c r="F43" s="9" t="str">
        <f t="shared" si="4"/>
        <v>South Asia</v>
      </c>
      <c r="H43" s="280" t="s">
        <v>38</v>
      </c>
      <c r="I43" s="173">
        <f t="shared" si="5"/>
        <v>11.6</v>
      </c>
      <c r="J43" s="173">
        <f t="shared" si="6"/>
        <v>3.2</v>
      </c>
      <c r="K43" s="173" t="str">
        <f t="shared" si="7"/>
        <v>2011 DHS</v>
      </c>
      <c r="L43" s="20" t="str">
        <f t="shared" ref="L43:L67" si="9">VLOOKUP(H43, $R$5:$S$75, 2, FALSE)</f>
        <v>Eastern and Southern Africa</v>
      </c>
      <c r="R43" s="275" t="s">
        <v>77</v>
      </c>
      <c r="S43" s="9" t="s">
        <v>243</v>
      </c>
    </row>
    <row r="44" spans="1:19" x14ac:dyDescent="0.3">
      <c r="A44" s="271" t="s">
        <v>35</v>
      </c>
      <c r="B44" s="604" t="s">
        <v>803</v>
      </c>
      <c r="C44" s="608">
        <v>8.1</v>
      </c>
      <c r="D44" s="608">
        <v>7.1</v>
      </c>
      <c r="E44" s="5" t="s">
        <v>878</v>
      </c>
      <c r="F44" s="9" t="str">
        <f t="shared" si="4"/>
        <v>Southeast Asia and Oceania</v>
      </c>
      <c r="H44" s="280" t="s">
        <v>79</v>
      </c>
      <c r="I44" s="173">
        <f t="shared" si="5"/>
        <v>3.9</v>
      </c>
      <c r="J44" s="173">
        <f t="shared" si="6"/>
        <v>4.8</v>
      </c>
      <c r="K44" s="173" t="str">
        <f t="shared" si="7"/>
        <v>2015-16 DHS</v>
      </c>
      <c r="L44" s="20" t="str">
        <f t="shared" si="9"/>
        <v>Southeast Asia and Oceania</v>
      </c>
      <c r="R44" s="275" t="s">
        <v>78</v>
      </c>
      <c r="S44" s="9" t="s">
        <v>639</v>
      </c>
    </row>
    <row r="45" spans="1:19" x14ac:dyDescent="0.3">
      <c r="A45" s="271" t="s">
        <v>194</v>
      </c>
      <c r="B45" s="604" t="s">
        <v>191</v>
      </c>
      <c r="C45" s="608">
        <v>31.6</v>
      </c>
      <c r="D45" s="608">
        <v>15.3</v>
      </c>
      <c r="E45" s="5"/>
      <c r="F45" s="9" t="str">
        <f t="shared" si="4"/>
        <v>Not FP2020</v>
      </c>
      <c r="H45" s="280" t="s">
        <v>80</v>
      </c>
      <c r="I45" s="173">
        <f t="shared" si="5"/>
        <v>11.5</v>
      </c>
      <c r="J45" s="173">
        <f t="shared" si="6"/>
        <v>7.2</v>
      </c>
      <c r="K45" s="173" t="str">
        <f t="shared" si="7"/>
        <v>2016 DHS</v>
      </c>
      <c r="L45" s="20" t="str">
        <f t="shared" si="9"/>
        <v>South Asia</v>
      </c>
      <c r="R45" s="275" t="s">
        <v>38</v>
      </c>
      <c r="S45" s="9" t="s">
        <v>636</v>
      </c>
    </row>
    <row r="46" spans="1:19" x14ac:dyDescent="0.3">
      <c r="A46" s="271" t="s">
        <v>195</v>
      </c>
      <c r="B46" s="604" t="s">
        <v>877</v>
      </c>
      <c r="C46" s="608">
        <v>7.7</v>
      </c>
      <c r="D46" s="608">
        <v>5.9</v>
      </c>
      <c r="E46" s="5" t="s">
        <v>878</v>
      </c>
      <c r="F46" s="9" t="str">
        <f t="shared" si="4"/>
        <v>n/a</v>
      </c>
      <c r="H46" s="280" t="s">
        <v>81</v>
      </c>
      <c r="I46" s="173">
        <f t="shared" si="5"/>
        <v>22.5</v>
      </c>
      <c r="J46" s="173">
        <f t="shared" si="6"/>
        <v>13.3</v>
      </c>
      <c r="K46" s="173" t="str">
        <f t="shared" si="7"/>
        <v>2006-07 RHS</v>
      </c>
      <c r="L46" s="20" t="str">
        <f t="shared" si="9"/>
        <v>Latin America and Caribbean</v>
      </c>
      <c r="R46" s="275" t="s">
        <v>79</v>
      </c>
      <c r="S46" s="9" t="s">
        <v>641</v>
      </c>
    </row>
    <row r="47" spans="1:19" x14ac:dyDescent="0.3">
      <c r="A47" s="271" t="s">
        <v>196</v>
      </c>
      <c r="B47" s="604" t="s">
        <v>197</v>
      </c>
      <c r="C47" s="608">
        <v>8.3000000000000007</v>
      </c>
      <c r="D47" s="608">
        <v>8.9</v>
      </c>
      <c r="E47" s="5"/>
      <c r="F47" s="9" t="str">
        <f t="shared" si="4"/>
        <v>Not FP2020</v>
      </c>
      <c r="H47" s="280" t="s">
        <v>39</v>
      </c>
      <c r="I47" s="173">
        <f t="shared" si="5"/>
        <v>7.6</v>
      </c>
      <c r="J47" s="173">
        <f t="shared" si="6"/>
        <v>0.6</v>
      </c>
      <c r="K47" s="173" t="str">
        <f t="shared" si="7"/>
        <v>2012 DHS</v>
      </c>
      <c r="L47" s="20" t="str">
        <f t="shared" si="9"/>
        <v>Western Africa</v>
      </c>
      <c r="R47" s="275" t="s">
        <v>80</v>
      </c>
      <c r="S47" s="9" t="s">
        <v>640</v>
      </c>
    </row>
    <row r="48" spans="1:19" x14ac:dyDescent="0.3">
      <c r="A48" s="271" t="s">
        <v>36</v>
      </c>
      <c r="B48" s="604" t="s">
        <v>170</v>
      </c>
      <c r="C48" s="608">
        <v>25.4</v>
      </c>
      <c r="D48" s="608">
        <v>10.3</v>
      </c>
      <c r="E48" s="5"/>
      <c r="F48" s="9" t="str">
        <f t="shared" si="4"/>
        <v>Eastern and Southern Africa</v>
      </c>
      <c r="H48" s="280" t="s">
        <v>40</v>
      </c>
      <c r="I48" s="173">
        <f t="shared" si="5"/>
        <v>8</v>
      </c>
      <c r="J48" s="173">
        <f t="shared" si="6"/>
        <v>2.5</v>
      </c>
      <c r="K48" s="173" t="str">
        <f t="shared" si="7"/>
        <v>2018 DHS</v>
      </c>
      <c r="L48" s="20" t="str">
        <f t="shared" si="9"/>
        <v>Western Africa</v>
      </c>
      <c r="R48" s="275" t="s">
        <v>81</v>
      </c>
      <c r="S48" s="9" t="s">
        <v>642</v>
      </c>
    </row>
    <row r="49" spans="1:19" x14ac:dyDescent="0.3">
      <c r="A49" s="272" t="s">
        <v>796</v>
      </c>
      <c r="B49" s="604" t="s">
        <v>177</v>
      </c>
      <c r="C49" s="608">
        <v>2.9</v>
      </c>
      <c r="D49" s="608">
        <v>0.8</v>
      </c>
      <c r="E49" s="5"/>
      <c r="F49" s="9" t="str">
        <f t="shared" si="4"/>
        <v>Eastern and Central Asia</v>
      </c>
      <c r="H49" s="280" t="s">
        <v>41</v>
      </c>
      <c r="I49" s="173">
        <f t="shared" si="5"/>
        <v>6.8</v>
      </c>
      <c r="J49" s="173">
        <f t="shared" si="6"/>
        <v>5.3</v>
      </c>
      <c r="K49" s="173" t="str">
        <f t="shared" si="7"/>
        <v>2017-18 DHS</v>
      </c>
      <c r="L49" s="20" t="str">
        <f t="shared" si="9"/>
        <v>South Asia</v>
      </c>
      <c r="R49" s="275" t="s">
        <v>39</v>
      </c>
      <c r="S49" s="9" t="s">
        <v>243</v>
      </c>
    </row>
    <row r="50" spans="1:19" x14ac:dyDescent="0.3">
      <c r="A50" s="272" t="s">
        <v>116</v>
      </c>
      <c r="B50" s="604" t="s">
        <v>869</v>
      </c>
      <c r="C50" s="608">
        <v>15.6</v>
      </c>
      <c r="D50" s="608">
        <v>8.6999999999999993</v>
      </c>
      <c r="E50" s="5" t="s">
        <v>939</v>
      </c>
      <c r="F50" s="9" t="str">
        <f t="shared" si="4"/>
        <v>Southeast Asia and Oceania</v>
      </c>
      <c r="H50" s="279" t="s">
        <v>82</v>
      </c>
      <c r="I50" s="367">
        <f>VLOOKUP($L50, $B$107:$D$112, 2, FALSE)</f>
        <v>9.9375</v>
      </c>
      <c r="J50" s="367">
        <f>VLOOKUP($L50, $B$107:$D$112, 3, FALSE)</f>
        <v>7.7</v>
      </c>
      <c r="K50" s="368" t="s">
        <v>199</v>
      </c>
      <c r="L50" s="20" t="str">
        <f t="shared" si="9"/>
        <v>Southeast Asia and Oceania</v>
      </c>
      <c r="R50" s="275" t="s">
        <v>40</v>
      </c>
      <c r="S50" s="9" t="s">
        <v>243</v>
      </c>
    </row>
    <row r="51" spans="1:19" x14ac:dyDescent="0.3">
      <c r="A51" s="271" t="s">
        <v>73</v>
      </c>
      <c r="B51" s="604" t="s">
        <v>170</v>
      </c>
      <c r="C51" s="608">
        <v>29.9</v>
      </c>
      <c r="D51" s="608">
        <v>21.6</v>
      </c>
      <c r="E51" s="5"/>
      <c r="F51" s="9" t="str">
        <f t="shared" si="4"/>
        <v>Eastern and Southern Africa</v>
      </c>
      <c r="H51" s="280" t="s">
        <v>42</v>
      </c>
      <c r="I51" s="173">
        <f>VLOOKUP($H51, $A$5:$D$95, 3, FALSE)</f>
        <v>15.8</v>
      </c>
      <c r="J51" s="173">
        <f>VLOOKUP($H51, $A$5:$D$95, 4, FALSE)</f>
        <v>11.2</v>
      </c>
      <c r="K51" s="173" t="str">
        <f>VLOOKUP($H51, $A$5:$D$95, 2, FALSE)</f>
        <v>2017 DHS</v>
      </c>
      <c r="L51" s="20" t="str">
        <f t="shared" si="9"/>
        <v>Southeast Asia and Oceania</v>
      </c>
      <c r="R51" s="275" t="s">
        <v>41</v>
      </c>
      <c r="S51" s="9" t="s">
        <v>640</v>
      </c>
    </row>
    <row r="52" spans="1:19" x14ac:dyDescent="0.3">
      <c r="A52" s="366" t="s">
        <v>74</v>
      </c>
      <c r="B52" s="205" t="s">
        <v>1193</v>
      </c>
      <c r="C52" s="205">
        <v>34.6</v>
      </c>
      <c r="D52" s="205">
        <v>7.6</v>
      </c>
      <c r="E52" s="205" t="s">
        <v>1194</v>
      </c>
      <c r="F52" s="9" t="str">
        <f t="shared" si="4"/>
        <v>Western Africa</v>
      </c>
      <c r="H52" s="281" t="s">
        <v>43</v>
      </c>
      <c r="I52" s="173">
        <f>VLOOKUP($H52, $A$5:$D$95, 3, FALSE)</f>
        <v>24.5</v>
      </c>
      <c r="J52" s="173">
        <f>VLOOKUP($H52, $A$5:$D$95, 4, FALSE)</f>
        <v>11.3</v>
      </c>
      <c r="K52" s="173" t="str">
        <f>VLOOKUP($H52, $A$5:$D$95, 2, FALSE)</f>
        <v>2014-15 DHS</v>
      </c>
      <c r="L52" s="20" t="str">
        <f t="shared" si="9"/>
        <v>Eastern and Southern Africa</v>
      </c>
      <c r="R52" s="275" t="s">
        <v>82</v>
      </c>
      <c r="S52" s="9" t="s">
        <v>641</v>
      </c>
    </row>
    <row r="53" spans="1:19" x14ac:dyDescent="0.3">
      <c r="A53" s="271" t="s">
        <v>75</v>
      </c>
      <c r="B53" s="604" t="s">
        <v>870</v>
      </c>
      <c r="C53" s="608">
        <v>10.1</v>
      </c>
      <c r="D53" s="608">
        <v>3.5</v>
      </c>
      <c r="E53" s="5" t="s">
        <v>943</v>
      </c>
      <c r="F53" s="9" t="str">
        <f t="shared" si="4"/>
        <v>Eastern and Southern Africa</v>
      </c>
      <c r="H53" s="281" t="s">
        <v>83</v>
      </c>
      <c r="I53" s="173">
        <f>VLOOKUP($H53, $A$5:$D$95, 3, FALSE)</f>
        <v>37.6</v>
      </c>
      <c r="J53" s="173">
        <f>VLOOKUP($H53, $A$5:$D$95, 4, FALSE)</f>
        <v>18.8</v>
      </c>
      <c r="K53" s="173" t="str">
        <f>VLOOKUP($H53, $A$5:$D$95, 2, FALSE)</f>
        <v>2014 MICS</v>
      </c>
      <c r="L53" s="20" t="str">
        <f t="shared" si="9"/>
        <v>Central Africa</v>
      </c>
      <c r="R53" s="275" t="s">
        <v>42</v>
      </c>
      <c r="S53" s="9" t="s">
        <v>641</v>
      </c>
    </row>
    <row r="54" spans="1:19" x14ac:dyDescent="0.3">
      <c r="A54" s="271" t="s">
        <v>37</v>
      </c>
      <c r="B54" s="604" t="s">
        <v>634</v>
      </c>
      <c r="C54" s="608">
        <v>29.8</v>
      </c>
      <c r="D54" s="608">
        <v>11.1</v>
      </c>
      <c r="E54" s="5"/>
      <c r="F54" s="9" t="str">
        <f t="shared" si="4"/>
        <v>Eastern and Southern Africa</v>
      </c>
      <c r="H54" s="280" t="s">
        <v>44</v>
      </c>
      <c r="I54" s="173">
        <f>VLOOKUP($H54, $A$5:$D$95, 3, FALSE)</f>
        <v>13.8</v>
      </c>
      <c r="J54" s="173">
        <f>VLOOKUP($H54, $A$5:$D$95, 4, FALSE)</f>
        <v>1.7</v>
      </c>
      <c r="K54" s="173" t="str">
        <f>VLOOKUP($H54, $A$5:$D$95, 2, FALSE)</f>
        <v>2019 DHS</v>
      </c>
      <c r="L54" s="20" t="str">
        <f t="shared" si="9"/>
        <v>Western Africa</v>
      </c>
      <c r="R54" s="275" t="s">
        <v>43</v>
      </c>
      <c r="S54" s="9" t="s">
        <v>636</v>
      </c>
    </row>
    <row r="55" spans="1:19" x14ac:dyDescent="0.3">
      <c r="A55" s="271" t="s">
        <v>198</v>
      </c>
      <c r="B55" s="604" t="s">
        <v>802</v>
      </c>
      <c r="C55" s="608">
        <v>16</v>
      </c>
      <c r="D55" s="608">
        <v>7.4</v>
      </c>
      <c r="E55" s="5" t="s">
        <v>878</v>
      </c>
      <c r="F55" s="9" t="str">
        <f t="shared" si="4"/>
        <v>Not FP2020</v>
      </c>
      <c r="H55" s="280" t="s">
        <v>45</v>
      </c>
      <c r="I55" s="173">
        <f>VLOOKUP($H55, $A$5:$D$95, 3, FALSE)</f>
        <v>15.2</v>
      </c>
      <c r="J55" s="173">
        <f>VLOOKUP($H55, $A$5:$D$95, 4, FALSE)</f>
        <v>3.6</v>
      </c>
      <c r="K55" s="173" t="str">
        <f>VLOOKUP($H55, $A$5:$D$95, 2, FALSE)</f>
        <v>2019 DHS</v>
      </c>
      <c r="L55" s="20" t="str">
        <f t="shared" si="9"/>
        <v>Western Africa</v>
      </c>
      <c r="R55" s="275" t="s">
        <v>83</v>
      </c>
      <c r="S55" s="9" t="s">
        <v>637</v>
      </c>
    </row>
    <row r="56" spans="1:19" x14ac:dyDescent="0.3">
      <c r="A56" s="271" t="s">
        <v>76</v>
      </c>
      <c r="B56" s="604" t="s">
        <v>879</v>
      </c>
      <c r="C56" s="608">
        <v>11.4</v>
      </c>
      <c r="D56" s="608">
        <v>2.6</v>
      </c>
      <c r="E56" s="5" t="s">
        <v>878</v>
      </c>
      <c r="F56" s="9" t="str">
        <f t="shared" si="4"/>
        <v>Western Africa</v>
      </c>
      <c r="H56" s="279" t="s">
        <v>46</v>
      </c>
      <c r="I56" s="367">
        <f>VLOOKUP($L56, $B$107:$D$112, 2, FALSE)</f>
        <v>9.9375</v>
      </c>
      <c r="J56" s="367">
        <f>VLOOKUP($L56, $B$107:$D$112, 3, FALSE)</f>
        <v>7.7</v>
      </c>
      <c r="K56" s="368" t="s">
        <v>199</v>
      </c>
      <c r="L56" s="20" t="str">
        <f t="shared" si="9"/>
        <v>Southeast Asia and Oceania</v>
      </c>
      <c r="R56" s="275" t="s">
        <v>44</v>
      </c>
      <c r="S56" s="9" t="s">
        <v>243</v>
      </c>
    </row>
    <row r="57" spans="1:19" x14ac:dyDescent="0.3">
      <c r="A57" s="271" t="s">
        <v>77</v>
      </c>
      <c r="B57" s="604" t="s">
        <v>799</v>
      </c>
      <c r="C57" s="608">
        <v>19.399999999999999</v>
      </c>
      <c r="D57" s="608">
        <v>6</v>
      </c>
      <c r="E57" s="5" t="s">
        <v>938</v>
      </c>
      <c r="F57" s="9" t="str">
        <f t="shared" si="4"/>
        <v>Western Africa</v>
      </c>
      <c r="H57" s="279" t="s">
        <v>84</v>
      </c>
      <c r="I57" s="367">
        <f>VLOOKUP($L57, $B$107:$D$112, 2, FALSE)</f>
        <v>23.714285714285715</v>
      </c>
      <c r="J57" s="367">
        <f>VLOOKUP($L57, $B$107:$D$112, 3, FALSE)</f>
        <v>8.3071428571428552</v>
      </c>
      <c r="K57" s="368" t="s">
        <v>174</v>
      </c>
      <c r="L57" s="20" t="str">
        <f t="shared" si="9"/>
        <v>Eastern and Southern Africa</v>
      </c>
      <c r="R57" s="275" t="s">
        <v>45</v>
      </c>
      <c r="S57" s="9" t="s">
        <v>243</v>
      </c>
    </row>
    <row r="58" spans="1:19" x14ac:dyDescent="0.3">
      <c r="A58" s="271" t="s">
        <v>78</v>
      </c>
      <c r="B58" s="604" t="s">
        <v>870</v>
      </c>
      <c r="C58" s="608">
        <v>16.3</v>
      </c>
      <c r="D58" s="608">
        <v>8.8000000000000007</v>
      </c>
      <c r="E58" s="5" t="s">
        <v>939</v>
      </c>
      <c r="F58" s="9" t="str">
        <f t="shared" si="4"/>
        <v>Eastern and Central Asia</v>
      </c>
      <c r="H58" s="280" t="s">
        <v>53</v>
      </c>
      <c r="I58" s="173">
        <f>VLOOKUP($H58, $A$5:$D$95, 3, FALSE)</f>
        <v>33.6</v>
      </c>
      <c r="J58" s="173">
        <f>VLOOKUP($H58, $A$5:$D$95, 4, FALSE)</f>
        <v>20.399999999999999</v>
      </c>
      <c r="K58" s="173" t="str">
        <f>VLOOKUP($H58, $A$5:$D$95, 2, FALSE)</f>
        <v>2016 DHS</v>
      </c>
      <c r="L58" s="20" t="str">
        <f t="shared" si="9"/>
        <v>n/a</v>
      </c>
      <c r="R58" s="275" t="s">
        <v>46</v>
      </c>
      <c r="S58" s="9" t="s">
        <v>641</v>
      </c>
    </row>
    <row r="59" spans="1:19" x14ac:dyDescent="0.3">
      <c r="A59" s="271" t="s">
        <v>200</v>
      </c>
      <c r="B59" s="604" t="s">
        <v>201</v>
      </c>
      <c r="C59" s="608">
        <v>12.3</v>
      </c>
      <c r="D59" s="608">
        <v>8.5</v>
      </c>
      <c r="E59" s="5"/>
      <c r="F59" s="9" t="str">
        <f t="shared" si="4"/>
        <v>Not FP2020</v>
      </c>
      <c r="H59" s="281" t="s">
        <v>85</v>
      </c>
      <c r="I59" s="173">
        <f>VLOOKUP($H59, $A$5:$D$95, 3, FALSE)</f>
        <v>9.4</v>
      </c>
      <c r="J59" s="173">
        <f>VLOOKUP($H59, $A$5:$D$95, 4, FALSE)</f>
        <v>3.6</v>
      </c>
      <c r="K59" s="173" t="str">
        <f>VLOOKUP($H59, $A$5:$D$95, 2, FALSE)</f>
        <v>2010 MICS</v>
      </c>
      <c r="L59" s="20" t="str">
        <f t="shared" si="9"/>
        <v>Middle East and Northern Africa</v>
      </c>
      <c r="R59" s="275" t="s">
        <v>84</v>
      </c>
      <c r="S59" s="9" t="s">
        <v>636</v>
      </c>
    </row>
    <row r="60" spans="1:19" x14ac:dyDescent="0.3">
      <c r="A60" s="271" t="s">
        <v>202</v>
      </c>
      <c r="B60" s="604" t="s">
        <v>203</v>
      </c>
      <c r="C60" s="608">
        <v>15.1</v>
      </c>
      <c r="D60" s="608">
        <v>14.8</v>
      </c>
      <c r="E60" s="5"/>
      <c r="F60" s="9" t="str">
        <f t="shared" si="4"/>
        <v>Not FP2020</v>
      </c>
      <c r="H60" s="279" t="s">
        <v>86</v>
      </c>
      <c r="I60" s="367">
        <f>VLOOKUP($L60, $B$107:$D$112, 2, FALSE)</f>
        <v>8.35</v>
      </c>
      <c r="J60" s="367">
        <f>VLOOKUP($L60, $B$107:$D$112, 3, FALSE)</f>
        <v>7.1833333333333336</v>
      </c>
      <c r="K60" s="368" t="s">
        <v>159</v>
      </c>
      <c r="L60" s="20" t="str">
        <f t="shared" si="9"/>
        <v>South Asia</v>
      </c>
      <c r="R60" s="275" t="s">
        <v>53</v>
      </c>
      <c r="S60" s="9" t="s">
        <v>644</v>
      </c>
    </row>
    <row r="61" spans="1:19" x14ac:dyDescent="0.3">
      <c r="A61" s="271" t="s">
        <v>38</v>
      </c>
      <c r="B61" s="604" t="s">
        <v>164</v>
      </c>
      <c r="C61" s="608">
        <v>11.6</v>
      </c>
      <c r="D61" s="608">
        <v>3.2</v>
      </c>
      <c r="E61" s="5"/>
      <c r="F61" s="9" t="str">
        <f t="shared" si="4"/>
        <v>Eastern and Southern Africa</v>
      </c>
      <c r="H61" s="281" t="s">
        <v>117</v>
      </c>
      <c r="I61" s="173">
        <f t="shared" ref="I61:I69" si="10">VLOOKUP($H61, $A$5:$D$95, 3, FALSE)</f>
        <v>18</v>
      </c>
      <c r="J61" s="173">
        <f t="shared" ref="J61:J69" si="11">VLOOKUP($H61, $A$5:$D$95, 4, FALSE)</f>
        <v>9.9</v>
      </c>
      <c r="K61" s="173" t="str">
        <f t="shared" ref="K61:K69" si="12">VLOOKUP($H61, $A$5:$D$95, 2, FALSE)</f>
        <v>2014 MICS</v>
      </c>
      <c r="L61" s="20" t="str">
        <f t="shared" si="9"/>
        <v>Middle East and Northern Africa</v>
      </c>
      <c r="R61" s="275" t="s">
        <v>85</v>
      </c>
      <c r="S61" s="9" t="s">
        <v>638</v>
      </c>
    </row>
    <row r="62" spans="1:19" x14ac:dyDescent="0.3">
      <c r="A62" s="271" t="s">
        <v>79</v>
      </c>
      <c r="B62" s="604" t="s">
        <v>634</v>
      </c>
      <c r="C62" s="608">
        <v>3.9</v>
      </c>
      <c r="D62" s="608">
        <v>4.8</v>
      </c>
      <c r="E62" s="5"/>
      <c r="F62" s="9" t="str">
        <f t="shared" si="4"/>
        <v>Southeast Asia and Oceania</v>
      </c>
      <c r="H62" s="281" t="s">
        <v>87</v>
      </c>
      <c r="I62" s="173">
        <f t="shared" si="10"/>
        <v>15.8</v>
      </c>
      <c r="J62" s="173">
        <f t="shared" si="11"/>
        <v>4.9000000000000004</v>
      </c>
      <c r="K62" s="173" t="str">
        <f t="shared" si="12"/>
        <v>2014 MICS</v>
      </c>
      <c r="L62" s="20" t="str">
        <f t="shared" si="9"/>
        <v>Middle East and Northern Africa</v>
      </c>
      <c r="R62" s="275" t="s">
        <v>86</v>
      </c>
      <c r="S62" s="9" t="s">
        <v>640</v>
      </c>
    </row>
    <row r="63" spans="1:19" x14ac:dyDescent="0.3">
      <c r="A63" s="271" t="s">
        <v>204</v>
      </c>
      <c r="B63" s="604" t="s">
        <v>180</v>
      </c>
      <c r="C63" s="608">
        <v>40.700000000000003</v>
      </c>
      <c r="D63" s="608">
        <v>10.4</v>
      </c>
      <c r="E63" s="5"/>
      <c r="F63" s="9" t="str">
        <f t="shared" si="4"/>
        <v>Not FP2020</v>
      </c>
      <c r="H63" s="281" t="s">
        <v>88</v>
      </c>
      <c r="I63" s="173">
        <f t="shared" si="10"/>
        <v>2.5</v>
      </c>
      <c r="J63" s="173">
        <f t="shared" si="11"/>
        <v>2.2000000000000002</v>
      </c>
      <c r="K63" s="173" t="str">
        <f t="shared" si="12"/>
        <v>2017 DHS</v>
      </c>
      <c r="L63" s="20" t="str">
        <f t="shared" si="9"/>
        <v>Eastern and Central Asia</v>
      </c>
      <c r="R63" s="275" t="s">
        <v>117</v>
      </c>
      <c r="S63" s="9" t="s">
        <v>638</v>
      </c>
    </row>
    <row r="64" spans="1:19" x14ac:dyDescent="0.3">
      <c r="A64" s="271" t="s">
        <v>80</v>
      </c>
      <c r="B64" s="604" t="s">
        <v>713</v>
      </c>
      <c r="C64" s="608">
        <v>11.5</v>
      </c>
      <c r="D64" s="608">
        <v>7.2</v>
      </c>
      <c r="E64" s="5"/>
      <c r="F64" s="9" t="str">
        <f t="shared" si="4"/>
        <v>South Asia</v>
      </c>
      <c r="H64" s="281" t="s">
        <v>210</v>
      </c>
      <c r="I64" s="173">
        <f t="shared" si="10"/>
        <v>26.9</v>
      </c>
      <c r="J64" s="173">
        <f t="shared" si="11"/>
        <v>4.0999999999999996</v>
      </c>
      <c r="K64" s="173" t="str">
        <f t="shared" si="12"/>
        <v>2015-16 DHS</v>
      </c>
      <c r="L64" s="20" t="str">
        <f t="shared" si="9"/>
        <v>Eastern and Southern Africa</v>
      </c>
      <c r="R64" s="275" t="s">
        <v>87</v>
      </c>
      <c r="S64" s="9" t="s">
        <v>638</v>
      </c>
    </row>
    <row r="65" spans="1:19" x14ac:dyDescent="0.3">
      <c r="A65" s="271" t="s">
        <v>81</v>
      </c>
      <c r="B65" s="604" t="s">
        <v>205</v>
      </c>
      <c r="C65" s="608">
        <v>22.5</v>
      </c>
      <c r="D65" s="608">
        <v>13.3</v>
      </c>
      <c r="E65" s="5"/>
      <c r="F65" s="9" t="str">
        <f t="shared" si="4"/>
        <v>Latin America and Caribbean</v>
      </c>
      <c r="H65" s="281" t="s">
        <v>89</v>
      </c>
      <c r="I65" s="173">
        <f t="shared" si="10"/>
        <v>2.7</v>
      </c>
      <c r="J65" s="173">
        <f t="shared" si="11"/>
        <v>2.4</v>
      </c>
      <c r="K65" s="173" t="str">
        <f t="shared" si="12"/>
        <v>2016 DHS</v>
      </c>
      <c r="L65" s="20" t="str">
        <f t="shared" si="9"/>
        <v>Southeast Asia and Oceania</v>
      </c>
      <c r="R65" s="275" t="s">
        <v>88</v>
      </c>
      <c r="S65" s="9" t="s">
        <v>639</v>
      </c>
    </row>
    <row r="66" spans="1:19" x14ac:dyDescent="0.3">
      <c r="A66" s="271" t="s">
        <v>39</v>
      </c>
      <c r="B66" s="604" t="s">
        <v>177</v>
      </c>
      <c r="C66" s="608">
        <v>7.6</v>
      </c>
      <c r="D66" s="608">
        <v>0.6</v>
      </c>
      <c r="E66" s="5"/>
      <c r="F66" s="9" t="str">
        <f t="shared" si="4"/>
        <v>Western Africa</v>
      </c>
      <c r="H66" s="281" t="s">
        <v>90</v>
      </c>
      <c r="I66" s="173">
        <f t="shared" si="10"/>
        <v>21.6</v>
      </c>
      <c r="J66" s="173">
        <f t="shared" si="11"/>
        <v>6.4</v>
      </c>
      <c r="K66" s="173" t="str">
        <f t="shared" si="12"/>
        <v>2013-14 DHS</v>
      </c>
      <c r="L66" s="20" t="str">
        <f t="shared" si="9"/>
        <v>Western Africa</v>
      </c>
      <c r="R66" s="275" t="s">
        <v>210</v>
      </c>
      <c r="S66" s="9" t="s">
        <v>636</v>
      </c>
    </row>
    <row r="67" spans="1:19" x14ac:dyDescent="0.3">
      <c r="A67" s="271" t="s">
        <v>40</v>
      </c>
      <c r="B67" s="604" t="s">
        <v>879</v>
      </c>
      <c r="C67" s="608">
        <v>8</v>
      </c>
      <c r="D67" s="608">
        <v>2.5</v>
      </c>
      <c r="E67" s="5" t="s">
        <v>878</v>
      </c>
      <c r="F67" s="9" t="str">
        <f t="shared" si="4"/>
        <v>Western Africa</v>
      </c>
      <c r="H67" s="281" t="s">
        <v>47</v>
      </c>
      <c r="I67" s="173">
        <f t="shared" si="10"/>
        <v>32.1</v>
      </c>
      <c r="J67" s="173">
        <f t="shared" si="11"/>
        <v>9.4</v>
      </c>
      <c r="K67" s="173" t="str">
        <f t="shared" si="12"/>
        <v>2016 DHS</v>
      </c>
      <c r="L67" s="20" t="str">
        <f t="shared" si="9"/>
        <v>Eastern and Southern Africa</v>
      </c>
      <c r="R67" s="275" t="s">
        <v>89</v>
      </c>
      <c r="S67" s="9" t="s">
        <v>641</v>
      </c>
    </row>
    <row r="68" spans="1:19" x14ac:dyDescent="0.3">
      <c r="A68" s="271" t="s">
        <v>41</v>
      </c>
      <c r="B68" s="604" t="s">
        <v>877</v>
      </c>
      <c r="C68" s="608">
        <v>6.8</v>
      </c>
      <c r="D68" s="608">
        <v>5.3</v>
      </c>
      <c r="E68" s="5" t="s">
        <v>878</v>
      </c>
      <c r="F68" s="9" t="str">
        <f t="shared" si="4"/>
        <v>South Asia</v>
      </c>
      <c r="H68" s="281" t="s">
        <v>91</v>
      </c>
      <c r="I68" s="173">
        <f t="shared" si="10"/>
        <v>2.4</v>
      </c>
      <c r="J68" s="173">
        <f t="shared" si="11"/>
        <v>1.9</v>
      </c>
      <c r="K68" s="173" t="str">
        <f t="shared" si="12"/>
        <v>1996 DHS</v>
      </c>
      <c r="L68" s="20" t="str">
        <f t="shared" ref="L68:L73" si="13">VLOOKUP(H68, $R$5:$S$75, 2, FALSE)</f>
        <v>Eastern and Central Asia</v>
      </c>
      <c r="R68" s="275" t="s">
        <v>90</v>
      </c>
      <c r="S68" s="9" t="s">
        <v>243</v>
      </c>
    </row>
    <row r="69" spans="1:19" x14ac:dyDescent="0.3">
      <c r="A69" s="271" t="s">
        <v>82</v>
      </c>
      <c r="B69" s="604" t="s">
        <v>880</v>
      </c>
      <c r="C69" s="608">
        <v>11.1</v>
      </c>
      <c r="D69" s="608">
        <v>16.600000000000001</v>
      </c>
      <c r="E69" s="5" t="s">
        <v>878</v>
      </c>
      <c r="F69" s="9" t="str">
        <f t="shared" si="4"/>
        <v>Southeast Asia and Oceania</v>
      </c>
      <c r="H69" s="281" t="s">
        <v>92</v>
      </c>
      <c r="I69" s="173">
        <f t="shared" si="10"/>
        <v>12.6</v>
      </c>
      <c r="J69" s="173">
        <f t="shared" si="11"/>
        <v>5</v>
      </c>
      <c r="K69" s="173" t="str">
        <f t="shared" si="12"/>
        <v>2013-14 MICS</v>
      </c>
      <c r="L69" s="20" t="str">
        <f t="shared" si="13"/>
        <v>Southeast Asia and Oceania</v>
      </c>
      <c r="R69" s="275" t="s">
        <v>47</v>
      </c>
      <c r="S69" s="9" t="s">
        <v>636</v>
      </c>
    </row>
    <row r="70" spans="1:19" x14ac:dyDescent="0.3">
      <c r="A70" s="271" t="s">
        <v>206</v>
      </c>
      <c r="B70" s="604" t="s">
        <v>185</v>
      </c>
      <c r="C70" s="608">
        <v>23.6</v>
      </c>
      <c r="D70" s="608">
        <v>7.3</v>
      </c>
      <c r="E70" s="5"/>
      <c r="F70" s="9" t="str">
        <f t="shared" si="4"/>
        <v>Not FP2020</v>
      </c>
      <c r="H70" s="279" t="s">
        <v>93</v>
      </c>
      <c r="I70" s="367">
        <f>VLOOKUP($L70, $B$107:$D$112, 2, FALSE)</f>
        <v>13.533333333333333</v>
      </c>
      <c r="J70" s="367">
        <f>VLOOKUP($L70, $B$107:$D$112, 3, FALSE)</f>
        <v>8.6333333333333329</v>
      </c>
      <c r="K70" s="368" t="s">
        <v>645</v>
      </c>
      <c r="L70" s="20" t="str">
        <f t="shared" si="13"/>
        <v>Middle East and Northern Africa</v>
      </c>
      <c r="R70" s="275" t="s">
        <v>91</v>
      </c>
      <c r="S70" s="9" t="s">
        <v>639</v>
      </c>
    </row>
    <row r="71" spans="1:19" x14ac:dyDescent="0.3">
      <c r="A71" s="271" t="s">
        <v>207</v>
      </c>
      <c r="B71" s="604" t="s">
        <v>177</v>
      </c>
      <c r="C71" s="608">
        <v>31.6</v>
      </c>
      <c r="D71" s="608">
        <v>23.2</v>
      </c>
      <c r="E71" s="5"/>
      <c r="F71" s="9" t="str">
        <f t="shared" si="4"/>
        <v>Not FP2020</v>
      </c>
      <c r="H71" s="280" t="s">
        <v>94</v>
      </c>
      <c r="I71" s="173">
        <f>VLOOKUP($H71, $A$5:$D$95, 3, FALSE)</f>
        <v>21.2</v>
      </c>
      <c r="J71" s="173">
        <f>VLOOKUP($H71, $A$5:$D$95, 4, FALSE)</f>
        <v>14</v>
      </c>
      <c r="K71" s="173" t="str">
        <f>VLOOKUP($H71, $A$5:$D$95, 2, FALSE)</f>
        <v>2013 DHS</v>
      </c>
      <c r="L71" s="20" t="str">
        <f t="shared" si="13"/>
        <v>Middle East and Northern Africa</v>
      </c>
      <c r="R71" s="275" t="s">
        <v>92</v>
      </c>
      <c r="S71" s="9" t="s">
        <v>641</v>
      </c>
    </row>
    <row r="72" spans="1:19" x14ac:dyDescent="0.3">
      <c r="A72" s="271" t="s">
        <v>42</v>
      </c>
      <c r="B72" s="604" t="s">
        <v>803</v>
      </c>
      <c r="C72" s="608">
        <v>15.8</v>
      </c>
      <c r="D72" s="608">
        <v>11.2</v>
      </c>
      <c r="E72" s="5"/>
      <c r="F72" s="9" t="str">
        <f t="shared" si="4"/>
        <v>Southeast Asia and Oceania</v>
      </c>
      <c r="H72" s="280" t="s">
        <v>48</v>
      </c>
      <c r="I72" s="173">
        <f>VLOOKUP($H72, $A$5:$D$95, 3, FALSE)</f>
        <v>33.299999999999997</v>
      </c>
      <c r="J72" s="173">
        <f>VLOOKUP($H72, $A$5:$D$95, 4, FALSE)</f>
        <v>5.0999999999999996</v>
      </c>
      <c r="K72" s="173" t="str">
        <f>VLOOKUP($H72, $A$5:$D$95, 2, FALSE)</f>
        <v>2018 DHS</v>
      </c>
      <c r="L72" s="20" t="str">
        <f t="shared" si="13"/>
        <v>Eastern and Southern Africa</v>
      </c>
      <c r="R72" s="275" t="s">
        <v>93</v>
      </c>
      <c r="S72" s="9" t="s">
        <v>638</v>
      </c>
    </row>
    <row r="73" spans="1:19" x14ac:dyDescent="0.3">
      <c r="A73" s="271" t="s">
        <v>208</v>
      </c>
      <c r="B73" s="604" t="s">
        <v>209</v>
      </c>
      <c r="C73" s="608">
        <v>7.9</v>
      </c>
      <c r="D73" s="608">
        <v>4.3</v>
      </c>
      <c r="E73" s="5"/>
      <c r="F73" s="9" t="str">
        <f t="shared" si="4"/>
        <v>Not FP2020</v>
      </c>
      <c r="H73" s="280" t="s">
        <v>49</v>
      </c>
      <c r="I73" s="173">
        <f>VLOOKUP($H73, $A$5:$D$95, 3, FALSE)</f>
        <v>25.4</v>
      </c>
      <c r="J73" s="173">
        <f>VLOOKUP($H73, $A$5:$D$95, 4, FALSE)</f>
        <v>7.1</v>
      </c>
      <c r="K73" s="173" t="str">
        <f>VLOOKUP($H73, $A$5:$D$95, 2, FALSE)</f>
        <v>2015 DHS</v>
      </c>
      <c r="L73" s="20" t="str">
        <f t="shared" si="13"/>
        <v>Eastern and Southern Africa</v>
      </c>
      <c r="R73" s="275" t="s">
        <v>94</v>
      </c>
      <c r="S73" s="9" t="s">
        <v>638</v>
      </c>
    </row>
    <row r="74" spans="1:19" x14ac:dyDescent="0.3">
      <c r="A74" s="271" t="s">
        <v>43</v>
      </c>
      <c r="B74" s="604" t="s">
        <v>630</v>
      </c>
      <c r="C74" s="608">
        <v>24.5</v>
      </c>
      <c r="D74" s="608">
        <v>11.3</v>
      </c>
      <c r="E74" s="5"/>
      <c r="F74" s="9" t="str">
        <f t="shared" ref="F74:F93" si="14">IFERROR(VLOOKUP(A74, $R$5:$S$75, 2, FALSE), "Not FP2020")</f>
        <v>Eastern and Southern Africa</v>
      </c>
      <c r="I74" s="9"/>
      <c r="J74" s="9"/>
      <c r="K74" s="9"/>
      <c r="R74" s="275" t="s">
        <v>48</v>
      </c>
      <c r="S74" s="9" t="s">
        <v>636</v>
      </c>
    </row>
    <row r="75" spans="1:19" x14ac:dyDescent="0.3">
      <c r="A75" s="271" t="s">
        <v>83</v>
      </c>
      <c r="B75" s="604" t="s">
        <v>714</v>
      </c>
      <c r="C75" s="608">
        <v>37.6</v>
      </c>
      <c r="D75" s="608">
        <v>18.8</v>
      </c>
      <c r="E75" s="5" t="s">
        <v>942</v>
      </c>
      <c r="F75" s="9" t="str">
        <f t="shared" si="14"/>
        <v>Central Africa</v>
      </c>
      <c r="R75" s="275" t="s">
        <v>49</v>
      </c>
      <c r="S75" s="9" t="s">
        <v>636</v>
      </c>
    </row>
    <row r="76" spans="1:19" x14ac:dyDescent="0.3">
      <c r="A76" s="366" t="s">
        <v>44</v>
      </c>
      <c r="B76" s="605" t="s">
        <v>1195</v>
      </c>
      <c r="C76" s="609">
        <v>13.8</v>
      </c>
      <c r="D76" s="609">
        <v>1.7</v>
      </c>
      <c r="E76" s="205" t="s">
        <v>1194</v>
      </c>
      <c r="F76" s="9" t="str">
        <f t="shared" si="14"/>
        <v>Western Africa</v>
      </c>
    </row>
    <row r="77" spans="1:19" x14ac:dyDescent="0.3">
      <c r="A77" s="366" t="s">
        <v>45</v>
      </c>
      <c r="B77" s="205" t="s">
        <v>1195</v>
      </c>
      <c r="C77" s="205">
        <v>15.2</v>
      </c>
      <c r="D77" s="205">
        <v>3.6</v>
      </c>
      <c r="E77" s="205" t="s">
        <v>1194</v>
      </c>
      <c r="F77" s="9" t="str">
        <f t="shared" si="14"/>
        <v>Western Africa</v>
      </c>
      <c r="R77"/>
    </row>
    <row r="78" spans="1:19" x14ac:dyDescent="0.3">
      <c r="A78" s="449" t="s">
        <v>53</v>
      </c>
      <c r="B78" s="604" t="s">
        <v>713</v>
      </c>
      <c r="C78" s="608">
        <v>33.6</v>
      </c>
      <c r="D78" s="608">
        <v>20.399999999999999</v>
      </c>
      <c r="E78" s="5"/>
      <c r="F78" s="9" t="str">
        <f t="shared" si="14"/>
        <v>n/a</v>
      </c>
      <c r="R78"/>
    </row>
    <row r="79" spans="1:19" x14ac:dyDescent="0.3">
      <c r="A79" s="271" t="s">
        <v>85</v>
      </c>
      <c r="B79" s="604" t="s">
        <v>715</v>
      </c>
      <c r="C79" s="608">
        <v>9.4</v>
      </c>
      <c r="D79" s="608">
        <v>3.6</v>
      </c>
      <c r="E79" s="5" t="s">
        <v>939</v>
      </c>
      <c r="F79" s="9" t="str">
        <f t="shared" si="14"/>
        <v>Middle East and Northern Africa</v>
      </c>
      <c r="R79"/>
    </row>
    <row r="80" spans="1:19" x14ac:dyDescent="0.3">
      <c r="A80" s="271" t="s">
        <v>117</v>
      </c>
      <c r="B80" s="604" t="s">
        <v>714</v>
      </c>
      <c r="C80" s="608">
        <v>18</v>
      </c>
      <c r="D80" s="608">
        <v>9.9</v>
      </c>
      <c r="E80" s="5" t="s">
        <v>939</v>
      </c>
      <c r="F80" s="9" t="str">
        <f t="shared" si="14"/>
        <v>Middle East and Northern Africa</v>
      </c>
      <c r="R80"/>
    </row>
    <row r="81" spans="1:18" x14ac:dyDescent="0.3">
      <c r="A81" s="271" t="s">
        <v>87</v>
      </c>
      <c r="B81" s="604" t="s">
        <v>714</v>
      </c>
      <c r="C81" s="608">
        <v>15.8</v>
      </c>
      <c r="D81" s="608">
        <v>4.9000000000000004</v>
      </c>
      <c r="E81" s="5" t="s">
        <v>939</v>
      </c>
      <c r="F81" s="9" t="str">
        <f t="shared" si="14"/>
        <v>Middle East and Northern Africa</v>
      </c>
      <c r="R81"/>
    </row>
    <row r="82" spans="1:18" x14ac:dyDescent="0.3">
      <c r="A82" s="5" t="s">
        <v>872</v>
      </c>
      <c r="B82" s="604" t="s">
        <v>212</v>
      </c>
      <c r="C82" s="608">
        <v>26.8</v>
      </c>
      <c r="D82" s="608">
        <v>36.9</v>
      </c>
      <c r="E82" s="5"/>
      <c r="F82" s="9" t="str">
        <f t="shared" si="14"/>
        <v>Not FP2020</v>
      </c>
      <c r="R82"/>
    </row>
    <row r="83" spans="1:18" x14ac:dyDescent="0.3">
      <c r="A83" s="271" t="s">
        <v>88</v>
      </c>
      <c r="B83" s="604" t="s">
        <v>803</v>
      </c>
      <c r="C83" s="608">
        <v>2.5</v>
      </c>
      <c r="D83" s="608">
        <v>2.2000000000000002</v>
      </c>
      <c r="E83" s="5"/>
      <c r="F83" s="9" t="str">
        <f t="shared" si="14"/>
        <v>Eastern and Central Asia</v>
      </c>
      <c r="R83"/>
    </row>
    <row r="84" spans="1:18" x14ac:dyDescent="0.3">
      <c r="A84" s="271" t="s">
        <v>210</v>
      </c>
      <c r="B84" s="604" t="s">
        <v>634</v>
      </c>
      <c r="C84" s="608">
        <v>26.9</v>
      </c>
      <c r="D84" s="608">
        <v>4.0999999999999996</v>
      </c>
      <c r="E84" s="5"/>
      <c r="F84" s="9" t="str">
        <f t="shared" si="14"/>
        <v>Eastern and Southern Africa</v>
      </c>
      <c r="R84"/>
    </row>
    <row r="85" spans="1:18" x14ac:dyDescent="0.3">
      <c r="A85" s="271" t="s">
        <v>89</v>
      </c>
      <c r="B85" s="604" t="s">
        <v>713</v>
      </c>
      <c r="C85" s="608">
        <v>2.7</v>
      </c>
      <c r="D85" s="608">
        <v>2.4</v>
      </c>
      <c r="E85" s="5"/>
      <c r="F85" s="9" t="str">
        <f t="shared" si="14"/>
        <v>Southeast Asia and Oceania</v>
      </c>
      <c r="R85"/>
    </row>
    <row r="86" spans="1:18" x14ac:dyDescent="0.3">
      <c r="A86" s="271" t="s">
        <v>90</v>
      </c>
      <c r="B86" s="604" t="s">
        <v>181</v>
      </c>
      <c r="C86" s="608">
        <v>21.6</v>
      </c>
      <c r="D86" s="608">
        <v>6.4</v>
      </c>
      <c r="E86" s="5"/>
      <c r="F86" s="9" t="str">
        <f t="shared" si="14"/>
        <v>Western Africa</v>
      </c>
      <c r="R86"/>
    </row>
    <row r="87" spans="1:18" x14ac:dyDescent="0.3">
      <c r="A87" s="271" t="s">
        <v>213</v>
      </c>
      <c r="B87" s="604" t="s">
        <v>214</v>
      </c>
      <c r="C87" s="608">
        <v>13.6</v>
      </c>
      <c r="D87" s="608">
        <v>20.5</v>
      </c>
      <c r="E87" s="5"/>
      <c r="F87" s="9" t="str">
        <f t="shared" si="14"/>
        <v>Not FP2020</v>
      </c>
      <c r="R87"/>
    </row>
    <row r="88" spans="1:18" x14ac:dyDescent="0.3">
      <c r="A88" s="271" t="s">
        <v>215</v>
      </c>
      <c r="B88" s="604" t="s">
        <v>216</v>
      </c>
      <c r="C88" s="608">
        <v>2.2000000000000002</v>
      </c>
      <c r="D88" s="608">
        <v>1.2</v>
      </c>
      <c r="E88" s="5"/>
      <c r="F88" s="9" t="str">
        <f t="shared" si="14"/>
        <v>Not FP2020</v>
      </c>
      <c r="R88"/>
    </row>
    <row r="89" spans="1:18" x14ac:dyDescent="0.3">
      <c r="A89" s="271" t="s">
        <v>47</v>
      </c>
      <c r="B89" s="604" t="s">
        <v>713</v>
      </c>
      <c r="C89" s="608">
        <v>32.1</v>
      </c>
      <c r="D89" s="608">
        <v>9.4</v>
      </c>
      <c r="E89" s="5" t="s">
        <v>941</v>
      </c>
      <c r="F89" s="9" t="str">
        <f t="shared" si="14"/>
        <v>Eastern and Southern Africa</v>
      </c>
      <c r="R89"/>
    </row>
    <row r="90" spans="1:18" x14ac:dyDescent="0.3">
      <c r="A90" s="449" t="s">
        <v>217</v>
      </c>
      <c r="B90" s="604" t="s">
        <v>218</v>
      </c>
      <c r="C90" s="608">
        <v>7.7</v>
      </c>
      <c r="D90" s="608">
        <v>6.1</v>
      </c>
      <c r="E90" s="5"/>
      <c r="F90" s="9" t="str">
        <f t="shared" si="14"/>
        <v>Not FP2020</v>
      </c>
      <c r="R90"/>
    </row>
    <row r="91" spans="1:18" x14ac:dyDescent="0.3">
      <c r="A91" s="271" t="s">
        <v>91</v>
      </c>
      <c r="B91" s="604" t="s">
        <v>169</v>
      </c>
      <c r="C91" s="608">
        <v>2.4</v>
      </c>
      <c r="D91" s="608">
        <v>1.9</v>
      </c>
      <c r="E91" s="5"/>
      <c r="F91" s="9" t="str">
        <f t="shared" si="14"/>
        <v>Eastern and Central Asia</v>
      </c>
      <c r="R91"/>
    </row>
    <row r="92" spans="1:18" x14ac:dyDescent="0.3">
      <c r="A92" s="271" t="s">
        <v>92</v>
      </c>
      <c r="B92" s="604" t="s">
        <v>716</v>
      </c>
      <c r="C92" s="608">
        <v>12.6</v>
      </c>
      <c r="D92" s="608">
        <v>5</v>
      </c>
      <c r="E92" s="5" t="s">
        <v>938</v>
      </c>
      <c r="F92" s="9" t="str">
        <f t="shared" si="14"/>
        <v>Southeast Asia and Oceania</v>
      </c>
      <c r="R92"/>
    </row>
    <row r="93" spans="1:18" x14ac:dyDescent="0.3">
      <c r="A93" s="271" t="s">
        <v>94</v>
      </c>
      <c r="B93" s="604" t="s">
        <v>180</v>
      </c>
      <c r="C93" s="608">
        <v>21.2</v>
      </c>
      <c r="D93" s="608">
        <v>14</v>
      </c>
      <c r="E93" s="5"/>
      <c r="F93" s="9" t="str">
        <f t="shared" si="14"/>
        <v>Middle East and Northern Africa</v>
      </c>
      <c r="R93"/>
    </row>
    <row r="94" spans="1:18" x14ac:dyDescent="0.3">
      <c r="A94" s="271" t="s">
        <v>48</v>
      </c>
      <c r="B94" s="604" t="s">
        <v>879</v>
      </c>
      <c r="C94" s="608">
        <v>33.299999999999997</v>
      </c>
      <c r="D94" s="608">
        <v>5.0999999999999996</v>
      </c>
      <c r="E94" s="5" t="s">
        <v>878</v>
      </c>
      <c r="F94" s="9" t="str">
        <f>IFERROR(VLOOKUP(A94, $R$5:$S$75, 2, FALSE), "Not FP2020")</f>
        <v>Eastern and Southern Africa</v>
      </c>
      <c r="R94"/>
    </row>
    <row r="95" spans="1:18" x14ac:dyDescent="0.3">
      <c r="A95" s="271" t="s">
        <v>49</v>
      </c>
      <c r="B95" s="270" t="s">
        <v>633</v>
      </c>
      <c r="C95" s="607">
        <v>25.4</v>
      </c>
      <c r="D95" s="607">
        <v>7.1</v>
      </c>
      <c r="E95" s="5"/>
      <c r="F95" s="9" t="str">
        <f>IFERROR(VLOOKUP(A95, $R$5:$S$75, 2, FALSE), "Not FP2020")</f>
        <v>Eastern and Southern Africa</v>
      </c>
      <c r="R95"/>
    </row>
    <row r="96" spans="1:18" x14ac:dyDescent="0.3">
      <c r="R96"/>
    </row>
    <row r="97" spans="1:18" x14ac:dyDescent="0.3">
      <c r="A97" s="9" t="s">
        <v>881</v>
      </c>
      <c r="R97"/>
    </row>
    <row r="99" spans="1:18" x14ac:dyDescent="0.3">
      <c r="A99" s="1" t="s">
        <v>153</v>
      </c>
    </row>
    <row r="100" spans="1:18" x14ac:dyDescent="0.3">
      <c r="A100" s="9" t="s">
        <v>219</v>
      </c>
    </row>
    <row r="101" spans="1:18" x14ac:dyDescent="0.3">
      <c r="A101" s="9" t="s">
        <v>936</v>
      </c>
    </row>
    <row r="102" spans="1:18" x14ac:dyDescent="0.3">
      <c r="G102" s="9"/>
    </row>
    <row r="103" spans="1:18" x14ac:dyDescent="0.3">
      <c r="A103" s="1" t="s">
        <v>935</v>
      </c>
    </row>
    <row r="104" spans="1:18" x14ac:dyDescent="0.3">
      <c r="A104" s="1" t="s">
        <v>934</v>
      </c>
    </row>
    <row r="106" spans="1:18" ht="43.2" x14ac:dyDescent="0.3">
      <c r="B106" s="167" t="s">
        <v>937</v>
      </c>
      <c r="C106" s="566" t="s">
        <v>155</v>
      </c>
      <c r="D106" s="566" t="s">
        <v>156</v>
      </c>
      <c r="G106" s="9"/>
    </row>
    <row r="107" spans="1:18" x14ac:dyDescent="0.3">
      <c r="B107" s="173" t="s">
        <v>639</v>
      </c>
      <c r="C107" s="602">
        <f t="shared" ref="C107:C112" si="15">AVERAGEIF($F$4:$F$95, B107, C$4:C$95)</f>
        <v>6.0249999999999995</v>
      </c>
      <c r="D107" s="602">
        <f t="shared" ref="D107:D112" si="16">AVERAGEIF($F$4:$F$95, B107, D$4:D$95)</f>
        <v>3.4250000000000003</v>
      </c>
    </row>
    <row r="108" spans="1:18" x14ac:dyDescent="0.3">
      <c r="B108" s="173" t="s">
        <v>641</v>
      </c>
      <c r="C108" s="602">
        <f t="shared" si="15"/>
        <v>9.9375</v>
      </c>
      <c r="D108" s="602">
        <f t="shared" si="16"/>
        <v>7.7</v>
      </c>
    </row>
    <row r="109" spans="1:18" x14ac:dyDescent="0.3">
      <c r="B109" s="173" t="s">
        <v>638</v>
      </c>
      <c r="C109" s="602">
        <f t="shared" si="15"/>
        <v>13.533333333333333</v>
      </c>
      <c r="D109" s="602">
        <f t="shared" si="16"/>
        <v>8.6333333333333329</v>
      </c>
    </row>
    <row r="110" spans="1:18" x14ac:dyDescent="0.3">
      <c r="B110" s="173" t="s">
        <v>636</v>
      </c>
      <c r="C110" s="602">
        <f t="shared" si="15"/>
        <v>23.714285714285715</v>
      </c>
      <c r="D110" s="602">
        <f t="shared" si="16"/>
        <v>8.3071428571428552</v>
      </c>
    </row>
    <row r="111" spans="1:18" x14ac:dyDescent="0.3">
      <c r="B111" s="173" t="s">
        <v>243</v>
      </c>
      <c r="C111" s="602">
        <f t="shared" si="15"/>
        <v>16.246666666666666</v>
      </c>
      <c r="D111" s="602">
        <f t="shared" si="16"/>
        <v>3.9466666666666672</v>
      </c>
    </row>
    <row r="112" spans="1:18" x14ac:dyDescent="0.3">
      <c r="B112" s="173" t="s">
        <v>640</v>
      </c>
      <c r="C112" s="602">
        <f t="shared" si="15"/>
        <v>8.35</v>
      </c>
      <c r="D112" s="602">
        <f t="shared" si="16"/>
        <v>7.1833333333333336</v>
      </c>
    </row>
  </sheetData>
  <autoFilter ref="A2:D95" xr:uid="{00000000-0009-0000-0000-000010000000}">
    <sortState xmlns:xlrd2="http://schemas.microsoft.com/office/spreadsheetml/2017/richdata2" ref="A5:D93">
      <sortCondition ref="A2:A93"/>
    </sortState>
  </autoFilter>
  <mergeCells count="3">
    <mergeCell ref="A1:B1"/>
    <mergeCell ref="A2:A3"/>
    <mergeCell ref="B2:B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0000"/>
  </sheetPr>
  <dimension ref="A1:L194"/>
  <sheetViews>
    <sheetView workbookViewId="0">
      <selection activeCell="B1" sqref="B1"/>
    </sheetView>
  </sheetViews>
  <sheetFormatPr defaultColWidth="9.109375" defaultRowHeight="14.4" x14ac:dyDescent="0.3"/>
  <cols>
    <col min="1" max="1" width="21.33203125" style="9" customWidth="1"/>
    <col min="2" max="4" width="16.109375" style="9" customWidth="1"/>
    <col min="5" max="16384" width="9.109375" style="9"/>
  </cols>
  <sheetData>
    <row r="1" spans="1:12" ht="28.8" x14ac:dyDescent="0.3">
      <c r="A1" s="9" t="s">
        <v>29</v>
      </c>
      <c r="B1" s="9" t="s">
        <v>955</v>
      </c>
      <c r="C1" s="612" t="s">
        <v>956</v>
      </c>
      <c r="D1" s="612" t="s">
        <v>957</v>
      </c>
      <c r="L1" s="11"/>
    </row>
    <row r="2" spans="1:12" x14ac:dyDescent="0.3">
      <c r="A2" s="9" t="s">
        <v>54</v>
      </c>
      <c r="B2" s="9">
        <v>638</v>
      </c>
      <c r="C2" s="611">
        <v>396</v>
      </c>
      <c r="D2" s="611">
        <v>400</v>
      </c>
      <c r="L2" s="11"/>
    </row>
    <row r="3" spans="1:12" x14ac:dyDescent="0.3">
      <c r="A3" s="9" t="s">
        <v>160</v>
      </c>
      <c r="B3" s="9">
        <v>15</v>
      </c>
      <c r="C3" s="611">
        <v>29</v>
      </c>
      <c r="D3" s="611">
        <v>21</v>
      </c>
      <c r="L3" s="11"/>
    </row>
    <row r="4" spans="1:12" x14ac:dyDescent="0.3">
      <c r="A4" s="9" t="s">
        <v>293</v>
      </c>
      <c r="B4" s="9">
        <v>112</v>
      </c>
      <c r="C4" s="611">
        <v>140</v>
      </c>
      <c r="D4" s="611">
        <v>89</v>
      </c>
      <c r="L4" s="11"/>
    </row>
    <row r="5" spans="1:12" x14ac:dyDescent="0.3">
      <c r="A5" s="9" t="s">
        <v>291</v>
      </c>
      <c r="B5" s="9">
        <v>241</v>
      </c>
      <c r="C5" s="611">
        <v>477</v>
      </c>
      <c r="D5" s="611">
        <v>460</v>
      </c>
      <c r="L5" s="11"/>
    </row>
    <row r="6" spans="1:12" x14ac:dyDescent="0.3">
      <c r="A6" s="9" t="s">
        <v>383</v>
      </c>
      <c r="B6" s="9">
        <v>39</v>
      </c>
      <c r="C6" s="611">
        <v>52</v>
      </c>
      <c r="D6" s="611">
        <v>69</v>
      </c>
      <c r="L6" s="11"/>
    </row>
    <row r="7" spans="1:12" x14ac:dyDescent="0.3">
      <c r="A7" s="9" t="s">
        <v>161</v>
      </c>
      <c r="B7" s="9">
        <v>26</v>
      </c>
      <c r="C7" s="611">
        <v>25</v>
      </c>
      <c r="D7" s="611">
        <v>29</v>
      </c>
      <c r="L7" s="11"/>
    </row>
    <row r="8" spans="1:12" x14ac:dyDescent="0.3">
      <c r="A8" s="9" t="s">
        <v>394</v>
      </c>
      <c r="B8" s="9">
        <v>6</v>
      </c>
      <c r="C8" s="611">
        <v>6</v>
      </c>
      <c r="D8" s="611">
        <v>6</v>
      </c>
      <c r="L8" s="11"/>
    </row>
    <row r="9" spans="1:12" x14ac:dyDescent="0.3">
      <c r="A9" s="9" t="s">
        <v>357</v>
      </c>
      <c r="B9" s="9">
        <v>5</v>
      </c>
      <c r="C9" s="611">
        <v>4</v>
      </c>
      <c r="D9" s="611">
        <v>4</v>
      </c>
      <c r="L9" s="11"/>
    </row>
    <row r="10" spans="1:12" x14ac:dyDescent="0.3">
      <c r="A10" s="9" t="s">
        <v>162</v>
      </c>
      <c r="B10" s="9">
        <v>26</v>
      </c>
      <c r="C10" s="611">
        <v>25</v>
      </c>
      <c r="D10" s="611">
        <v>26</v>
      </c>
      <c r="L10" s="11"/>
    </row>
    <row r="11" spans="1:12" x14ac:dyDescent="0.3">
      <c r="A11" s="9" t="s">
        <v>367</v>
      </c>
      <c r="B11" s="9">
        <v>70</v>
      </c>
      <c r="C11" s="611">
        <v>80</v>
      </c>
      <c r="D11" s="611">
        <v>37</v>
      </c>
      <c r="L11" s="11"/>
    </row>
    <row r="12" spans="1:12" x14ac:dyDescent="0.3">
      <c r="A12" s="9" t="s">
        <v>313</v>
      </c>
      <c r="B12" s="9">
        <v>14</v>
      </c>
      <c r="C12" s="611">
        <v>15</v>
      </c>
      <c r="D12" s="611">
        <v>22</v>
      </c>
      <c r="L12" s="11"/>
    </row>
    <row r="13" spans="1:12" x14ac:dyDescent="0.3">
      <c r="A13" s="9" t="s">
        <v>30</v>
      </c>
      <c r="B13" s="9">
        <v>173</v>
      </c>
      <c r="C13" s="611">
        <v>176</v>
      </c>
      <c r="D13" s="611">
        <v>170</v>
      </c>
      <c r="L13" s="11"/>
    </row>
    <row r="14" spans="1:12" x14ac:dyDescent="0.3">
      <c r="A14" s="9" t="s">
        <v>368</v>
      </c>
      <c r="B14" s="9">
        <v>27</v>
      </c>
      <c r="C14" s="611">
        <v>27</v>
      </c>
      <c r="D14" s="611">
        <v>52</v>
      </c>
      <c r="L14" s="11"/>
    </row>
    <row r="15" spans="1:12" x14ac:dyDescent="0.3">
      <c r="A15" s="9" t="s">
        <v>325</v>
      </c>
      <c r="B15" s="9">
        <v>2</v>
      </c>
      <c r="C15" s="611">
        <v>4</v>
      </c>
      <c r="D15" s="611">
        <v>1</v>
      </c>
      <c r="L15" s="11"/>
    </row>
    <row r="16" spans="1:12" x14ac:dyDescent="0.3">
      <c r="A16" s="9" t="s">
        <v>358</v>
      </c>
      <c r="B16" s="9">
        <v>5</v>
      </c>
      <c r="C16" s="611">
        <v>7</v>
      </c>
      <c r="D16" s="611">
        <v>6</v>
      </c>
      <c r="L16" s="11"/>
    </row>
    <row r="17" spans="1:12" x14ac:dyDescent="0.3">
      <c r="A17" s="9" t="s">
        <v>379</v>
      </c>
      <c r="B17" s="9">
        <v>36</v>
      </c>
      <c r="C17" s="611">
        <v>28</v>
      </c>
      <c r="D17" s="611">
        <v>45</v>
      </c>
      <c r="L17" s="11"/>
    </row>
    <row r="18" spans="1:12" x14ac:dyDescent="0.3">
      <c r="A18" s="9" t="s">
        <v>55</v>
      </c>
      <c r="B18" s="9">
        <v>397</v>
      </c>
      <c r="C18" s="611">
        <v>405</v>
      </c>
      <c r="D18" s="611">
        <v>340</v>
      </c>
      <c r="L18" s="11"/>
    </row>
    <row r="19" spans="1:12" x14ac:dyDescent="0.3">
      <c r="A19" s="9" t="s">
        <v>56</v>
      </c>
      <c r="B19" s="9">
        <v>183</v>
      </c>
      <c r="C19" s="611">
        <v>148</v>
      </c>
      <c r="D19" s="611">
        <v>120</v>
      </c>
      <c r="L19" s="11"/>
    </row>
    <row r="20" spans="1:12" x14ac:dyDescent="0.3">
      <c r="A20" s="9" t="s">
        <v>165</v>
      </c>
      <c r="B20" s="9">
        <v>155</v>
      </c>
      <c r="C20" s="611">
        <v>206</v>
      </c>
      <c r="D20" s="611">
        <v>200</v>
      </c>
      <c r="L20" s="11"/>
    </row>
    <row r="21" spans="1:12" x14ac:dyDescent="0.3">
      <c r="A21" s="9" t="s">
        <v>346</v>
      </c>
      <c r="B21" s="9">
        <v>10</v>
      </c>
      <c r="C21" s="611">
        <v>11</v>
      </c>
      <c r="D21" s="611">
        <v>8</v>
      </c>
      <c r="L21" s="11"/>
    </row>
    <row r="22" spans="1:12" x14ac:dyDescent="0.3">
      <c r="A22" s="9" t="s">
        <v>296</v>
      </c>
      <c r="B22" s="9">
        <v>144</v>
      </c>
      <c r="C22" s="611">
        <v>129</v>
      </c>
      <c r="D22" s="611">
        <v>170</v>
      </c>
      <c r="L22" s="11"/>
    </row>
    <row r="23" spans="1:12" x14ac:dyDescent="0.3">
      <c r="A23" s="9" t="s">
        <v>168</v>
      </c>
      <c r="B23" s="9">
        <v>60</v>
      </c>
      <c r="C23" s="611">
        <v>44</v>
      </c>
      <c r="D23" s="611">
        <v>69</v>
      </c>
      <c r="L23" s="11"/>
    </row>
    <row r="24" spans="1:12" x14ac:dyDescent="0.3">
      <c r="A24" s="9" t="s">
        <v>309</v>
      </c>
      <c r="B24" s="9">
        <v>31</v>
      </c>
      <c r="C24" s="611">
        <v>23</v>
      </c>
      <c r="D24" s="611">
        <v>26</v>
      </c>
      <c r="L24" s="11"/>
    </row>
    <row r="25" spans="1:12" x14ac:dyDescent="0.3">
      <c r="A25" s="9" t="s">
        <v>326</v>
      </c>
      <c r="B25" s="9">
        <v>10</v>
      </c>
      <c r="C25" s="611">
        <v>11</v>
      </c>
      <c r="D25" s="611">
        <v>5</v>
      </c>
      <c r="L25" s="11"/>
    </row>
    <row r="26" spans="1:12" x14ac:dyDescent="0.3">
      <c r="A26" s="9" t="s">
        <v>31</v>
      </c>
      <c r="B26" s="9">
        <v>320</v>
      </c>
      <c r="C26" s="611">
        <v>371</v>
      </c>
      <c r="D26" s="611">
        <v>400</v>
      </c>
      <c r="L26" s="11"/>
    </row>
    <row r="27" spans="1:12" x14ac:dyDescent="0.3">
      <c r="A27" s="9" t="s">
        <v>57</v>
      </c>
      <c r="B27" s="9">
        <v>548</v>
      </c>
      <c r="C27" s="611">
        <v>712</v>
      </c>
      <c r="D27" s="611">
        <v>740</v>
      </c>
      <c r="L27" s="11"/>
    </row>
    <row r="28" spans="1:12" x14ac:dyDescent="0.3">
      <c r="A28" s="9" t="s">
        <v>495</v>
      </c>
      <c r="B28" s="9">
        <v>58</v>
      </c>
      <c r="C28" s="611">
        <v>42</v>
      </c>
      <c r="D28" s="611">
        <v>53</v>
      </c>
      <c r="L28" s="11"/>
    </row>
    <row r="29" spans="1:12" x14ac:dyDescent="0.3">
      <c r="A29" s="9" t="s">
        <v>58</v>
      </c>
      <c r="B29" s="9">
        <v>160</v>
      </c>
      <c r="C29" s="611">
        <v>161</v>
      </c>
      <c r="D29" s="611">
        <v>170</v>
      </c>
      <c r="L29" s="11"/>
    </row>
    <row r="30" spans="1:12" x14ac:dyDescent="0.3">
      <c r="A30" s="9" t="s">
        <v>59</v>
      </c>
      <c r="B30" s="9">
        <v>529</v>
      </c>
      <c r="C30" s="611">
        <v>596</v>
      </c>
      <c r="D30" s="611">
        <v>590</v>
      </c>
      <c r="L30" s="11"/>
    </row>
    <row r="31" spans="1:12" x14ac:dyDescent="0.3">
      <c r="A31" s="9" t="s">
        <v>390</v>
      </c>
      <c r="B31" s="9">
        <v>10</v>
      </c>
      <c r="C31" s="611">
        <v>7</v>
      </c>
      <c r="D31" s="611">
        <v>11</v>
      </c>
      <c r="L31" s="11"/>
    </row>
    <row r="32" spans="1:12" x14ac:dyDescent="0.3">
      <c r="A32" s="9" t="s">
        <v>521</v>
      </c>
      <c r="B32" s="9">
        <v>829</v>
      </c>
      <c r="C32" s="611">
        <v>882</v>
      </c>
      <c r="D32" s="611">
        <v>880</v>
      </c>
      <c r="L32" s="11"/>
    </row>
    <row r="33" spans="1:12" x14ac:dyDescent="0.3">
      <c r="A33" s="9" t="s">
        <v>60</v>
      </c>
      <c r="B33" s="9">
        <v>1140</v>
      </c>
      <c r="C33" s="611">
        <v>856</v>
      </c>
      <c r="D33" s="611">
        <v>990</v>
      </c>
      <c r="L33" s="11"/>
    </row>
    <row r="34" spans="1:12" x14ac:dyDescent="0.3">
      <c r="A34" s="9" t="s">
        <v>384</v>
      </c>
      <c r="B34" s="9">
        <v>13</v>
      </c>
      <c r="C34" s="611">
        <v>22</v>
      </c>
      <c r="D34" s="611">
        <v>22</v>
      </c>
      <c r="L34" s="11"/>
    </row>
    <row r="35" spans="1:12" x14ac:dyDescent="0.3">
      <c r="A35" s="9" t="s">
        <v>299</v>
      </c>
      <c r="B35" s="9">
        <v>29</v>
      </c>
      <c r="C35" s="611">
        <v>27</v>
      </c>
      <c r="D35" s="611">
        <v>32</v>
      </c>
      <c r="L35" s="11"/>
    </row>
    <row r="36" spans="1:12" x14ac:dyDescent="0.3">
      <c r="A36" s="9" t="s">
        <v>175</v>
      </c>
      <c r="B36" s="9">
        <v>83</v>
      </c>
      <c r="C36" s="611">
        <v>64</v>
      </c>
      <c r="D36" s="611">
        <v>83</v>
      </c>
      <c r="L36" s="11"/>
    </row>
    <row r="37" spans="1:12" x14ac:dyDescent="0.3">
      <c r="A37" s="9" t="s">
        <v>61</v>
      </c>
      <c r="B37" s="9">
        <v>273</v>
      </c>
      <c r="C37" s="611">
        <v>335</v>
      </c>
      <c r="D37" s="611">
        <v>350</v>
      </c>
      <c r="L37" s="11"/>
    </row>
    <row r="38" spans="1:12" x14ac:dyDescent="0.3">
      <c r="A38" s="9" t="s">
        <v>62</v>
      </c>
      <c r="B38" s="9">
        <v>378</v>
      </c>
      <c r="C38" s="611">
        <v>442</v>
      </c>
      <c r="D38" s="611">
        <v>410</v>
      </c>
      <c r="F38" s="11"/>
      <c r="L38" s="11"/>
    </row>
    <row r="39" spans="1:12" x14ac:dyDescent="0.3">
      <c r="A39" s="9" t="s">
        <v>380</v>
      </c>
      <c r="B39" s="9">
        <v>27</v>
      </c>
      <c r="C39" s="611">
        <v>25</v>
      </c>
      <c r="D39" s="611">
        <v>38</v>
      </c>
      <c r="F39" s="11"/>
      <c r="L39" s="11"/>
    </row>
    <row r="40" spans="1:12" x14ac:dyDescent="0.3">
      <c r="A40" s="11" t="s">
        <v>63</v>
      </c>
      <c r="B40" s="9">
        <v>617</v>
      </c>
      <c r="C40" s="611">
        <v>645</v>
      </c>
      <c r="D40" s="611">
        <v>720</v>
      </c>
      <c r="L40" s="11"/>
    </row>
    <row r="41" spans="1:12" x14ac:dyDescent="0.3">
      <c r="A41" s="9" t="s">
        <v>347</v>
      </c>
      <c r="B41" s="9">
        <v>8</v>
      </c>
      <c r="C41" s="611">
        <v>8</v>
      </c>
      <c r="D41" s="611">
        <v>13</v>
      </c>
      <c r="L41" s="11"/>
    </row>
    <row r="42" spans="1:12" x14ac:dyDescent="0.3">
      <c r="A42" s="9" t="s">
        <v>369</v>
      </c>
      <c r="B42" s="9">
        <v>36</v>
      </c>
      <c r="C42" s="611">
        <v>39</v>
      </c>
      <c r="D42" s="611">
        <v>80</v>
      </c>
      <c r="L42" s="11"/>
    </row>
    <row r="43" spans="1:12" x14ac:dyDescent="0.3">
      <c r="A43" s="9" t="s">
        <v>314</v>
      </c>
      <c r="B43" s="9">
        <v>6</v>
      </c>
      <c r="C43" s="611">
        <v>7</v>
      </c>
      <c r="D43" s="611">
        <v>10</v>
      </c>
      <c r="L43" s="11"/>
    </row>
    <row r="44" spans="1:12" x14ac:dyDescent="0.3">
      <c r="A44" s="9" t="s">
        <v>724</v>
      </c>
      <c r="B44" s="9">
        <v>3</v>
      </c>
      <c r="C44" s="611">
        <v>4</v>
      </c>
      <c r="D44" s="611">
        <v>5</v>
      </c>
      <c r="L44" s="11"/>
    </row>
    <row r="45" spans="1:12" x14ac:dyDescent="0.3">
      <c r="A45" s="11" t="s">
        <v>115</v>
      </c>
      <c r="B45" s="9">
        <v>89</v>
      </c>
      <c r="C45" s="611">
        <v>82</v>
      </c>
      <c r="D45" s="611">
        <v>87</v>
      </c>
      <c r="J45" s="11"/>
      <c r="L45" s="11"/>
    </row>
    <row r="46" spans="1:12" x14ac:dyDescent="0.3">
      <c r="A46" s="9" t="s">
        <v>178</v>
      </c>
      <c r="B46" s="9">
        <v>473</v>
      </c>
      <c r="C46" s="611">
        <v>693</v>
      </c>
      <c r="D46" s="611">
        <v>730</v>
      </c>
      <c r="L46" s="11"/>
    </row>
    <row r="47" spans="1:12" x14ac:dyDescent="0.3">
      <c r="A47" s="9" t="s">
        <v>335</v>
      </c>
      <c r="B47" s="9">
        <v>4</v>
      </c>
      <c r="C47" s="611">
        <v>6</v>
      </c>
      <c r="D47" s="611">
        <v>5</v>
      </c>
      <c r="L47" s="11"/>
    </row>
    <row r="48" spans="1:12" x14ac:dyDescent="0.3">
      <c r="A48" s="9" t="s">
        <v>64</v>
      </c>
      <c r="B48" s="9">
        <v>248</v>
      </c>
      <c r="C48" s="611">
        <v>229</v>
      </c>
      <c r="D48" s="611">
        <v>230</v>
      </c>
      <c r="L48" s="11"/>
    </row>
    <row r="49" spans="1:12" x14ac:dyDescent="0.3">
      <c r="A49" s="9" t="s">
        <v>179</v>
      </c>
      <c r="B49" s="9">
        <v>95</v>
      </c>
      <c r="C49" s="611">
        <v>92</v>
      </c>
      <c r="D49" s="611">
        <v>100</v>
      </c>
      <c r="L49" s="11"/>
    </row>
    <row r="50" spans="1:12" x14ac:dyDescent="0.3">
      <c r="A50" s="9" t="s">
        <v>182</v>
      </c>
      <c r="B50" s="9">
        <v>59</v>
      </c>
      <c r="C50" s="611">
        <v>64</v>
      </c>
      <c r="D50" s="611">
        <v>87</v>
      </c>
      <c r="L50" s="11"/>
    </row>
    <row r="51" spans="1:12" x14ac:dyDescent="0.3">
      <c r="A51" s="9" t="s">
        <v>65</v>
      </c>
      <c r="B51" s="9">
        <v>37</v>
      </c>
      <c r="C51" s="611">
        <v>33</v>
      </c>
      <c r="D51" s="611">
        <v>45</v>
      </c>
      <c r="L51" s="11"/>
    </row>
    <row r="52" spans="1:12" x14ac:dyDescent="0.3">
      <c r="A52" s="9" t="s">
        <v>184</v>
      </c>
      <c r="B52" s="9">
        <v>46</v>
      </c>
      <c r="C52" s="611">
        <v>54</v>
      </c>
      <c r="D52" s="611">
        <v>69</v>
      </c>
      <c r="L52" s="11"/>
    </row>
    <row r="53" spans="1:12" x14ac:dyDescent="0.3">
      <c r="A53" s="9" t="s">
        <v>292</v>
      </c>
      <c r="B53" s="9">
        <v>301</v>
      </c>
      <c r="C53" s="611">
        <v>342</v>
      </c>
      <c r="D53" s="611">
        <v>290</v>
      </c>
      <c r="L53" s="11"/>
    </row>
    <row r="54" spans="1:12" x14ac:dyDescent="0.3">
      <c r="A54" s="9" t="s">
        <v>66</v>
      </c>
      <c r="B54" s="9">
        <v>480</v>
      </c>
      <c r="C54" s="611">
        <v>501</v>
      </c>
      <c r="D54" s="611">
        <v>380</v>
      </c>
      <c r="L54" s="11"/>
    </row>
    <row r="55" spans="1:12" x14ac:dyDescent="0.3">
      <c r="A55" s="9" t="s">
        <v>336</v>
      </c>
      <c r="B55" s="9">
        <v>9</v>
      </c>
      <c r="C55" s="611">
        <v>9</v>
      </c>
      <c r="D55" s="611">
        <v>11</v>
      </c>
      <c r="L55" s="11"/>
    </row>
    <row r="56" spans="1:12" x14ac:dyDescent="0.3">
      <c r="A56" s="9" t="s">
        <v>32</v>
      </c>
      <c r="B56" s="9">
        <v>401</v>
      </c>
      <c r="C56" s="611">
        <v>353</v>
      </c>
      <c r="D56" s="611">
        <v>420</v>
      </c>
      <c r="L56" s="11"/>
    </row>
    <row r="57" spans="1:12" x14ac:dyDescent="0.3">
      <c r="A57" s="9" t="s">
        <v>397</v>
      </c>
      <c r="B57" s="9">
        <v>34</v>
      </c>
      <c r="C57" s="611">
        <v>30</v>
      </c>
      <c r="D57" s="611">
        <v>59</v>
      </c>
      <c r="L57" s="11"/>
    </row>
    <row r="58" spans="1:12" x14ac:dyDescent="0.3">
      <c r="A58" s="9" t="s">
        <v>337</v>
      </c>
      <c r="B58" s="9">
        <v>3</v>
      </c>
      <c r="C58" s="611">
        <v>3</v>
      </c>
      <c r="D58" s="611">
        <v>4</v>
      </c>
      <c r="L58" s="11"/>
    </row>
    <row r="59" spans="1:12" x14ac:dyDescent="0.3">
      <c r="A59" s="9" t="s">
        <v>359</v>
      </c>
      <c r="B59" s="9">
        <v>8</v>
      </c>
      <c r="C59" s="611">
        <v>8</v>
      </c>
      <c r="D59" s="611">
        <v>9</v>
      </c>
      <c r="L59" s="11"/>
    </row>
    <row r="60" spans="1:12" x14ac:dyDescent="0.3">
      <c r="A60" s="9" t="s">
        <v>187</v>
      </c>
      <c r="B60" s="9">
        <v>252</v>
      </c>
      <c r="C60" s="611">
        <v>291</v>
      </c>
      <c r="D60" s="611">
        <v>240</v>
      </c>
      <c r="L60" s="11"/>
    </row>
    <row r="61" spans="1:12" x14ac:dyDescent="0.3">
      <c r="A61" s="9" t="s">
        <v>67</v>
      </c>
      <c r="B61" s="9">
        <v>597</v>
      </c>
      <c r="C61" s="611">
        <v>706</v>
      </c>
      <c r="D61" s="611">
        <v>430</v>
      </c>
      <c r="L61" s="11"/>
    </row>
    <row r="62" spans="1:12" x14ac:dyDescent="0.3">
      <c r="A62" s="9" t="s">
        <v>188</v>
      </c>
      <c r="B62" s="9">
        <v>25</v>
      </c>
      <c r="C62" s="611">
        <v>36</v>
      </c>
      <c r="D62" s="611">
        <v>41</v>
      </c>
      <c r="L62" s="11"/>
    </row>
    <row r="63" spans="1:12" x14ac:dyDescent="0.3">
      <c r="A63" s="9" t="s">
        <v>360</v>
      </c>
      <c r="B63" s="9">
        <v>7</v>
      </c>
      <c r="C63" s="611">
        <v>6</v>
      </c>
      <c r="D63" s="611">
        <v>7</v>
      </c>
      <c r="L63" s="11"/>
    </row>
    <row r="64" spans="1:12" x14ac:dyDescent="0.3">
      <c r="A64" s="9" t="s">
        <v>33</v>
      </c>
      <c r="B64" s="9">
        <v>308</v>
      </c>
      <c r="C64" s="611">
        <v>319</v>
      </c>
      <c r="D64" s="611">
        <v>380</v>
      </c>
      <c r="L64" s="11"/>
    </row>
    <row r="65" spans="1:12" x14ac:dyDescent="0.3">
      <c r="A65" s="9" t="s">
        <v>348</v>
      </c>
      <c r="B65" s="9">
        <v>3</v>
      </c>
      <c r="C65" s="611">
        <v>3</v>
      </c>
      <c r="D65" s="611">
        <v>5</v>
      </c>
      <c r="L65" s="11"/>
    </row>
    <row r="66" spans="1:12" x14ac:dyDescent="0.3">
      <c r="A66" s="9" t="s">
        <v>371</v>
      </c>
      <c r="B66" s="9">
        <v>25</v>
      </c>
      <c r="C66" s="611">
        <v>27</v>
      </c>
      <c r="D66" s="611">
        <v>23</v>
      </c>
      <c r="L66" s="11"/>
    </row>
    <row r="67" spans="1:12" x14ac:dyDescent="0.3">
      <c r="A67" s="9" t="s">
        <v>190</v>
      </c>
      <c r="B67" s="9">
        <v>95</v>
      </c>
      <c r="C67" s="611">
        <v>88</v>
      </c>
      <c r="D67" s="611">
        <v>140</v>
      </c>
      <c r="L67" s="11"/>
    </row>
    <row r="68" spans="1:12" x14ac:dyDescent="0.3">
      <c r="A68" s="9" t="s">
        <v>68</v>
      </c>
      <c r="B68" s="9">
        <v>576</v>
      </c>
      <c r="C68" s="611">
        <v>679</v>
      </c>
      <c r="D68" s="611">
        <v>650</v>
      </c>
      <c r="L68" s="11"/>
    </row>
    <row r="69" spans="1:12" x14ac:dyDescent="0.3">
      <c r="A69" s="9" t="s">
        <v>69</v>
      </c>
      <c r="B69" s="9">
        <v>667</v>
      </c>
      <c r="C69" s="611">
        <v>549</v>
      </c>
      <c r="D69" s="611">
        <v>560</v>
      </c>
      <c r="L69" s="11"/>
    </row>
    <row r="70" spans="1:12" x14ac:dyDescent="0.3">
      <c r="A70" s="9" t="s">
        <v>192</v>
      </c>
      <c r="B70" s="9">
        <v>169</v>
      </c>
      <c r="C70" s="611">
        <v>229</v>
      </c>
      <c r="D70" s="611">
        <v>250</v>
      </c>
      <c r="L70" s="11"/>
    </row>
    <row r="71" spans="1:12" x14ac:dyDescent="0.3">
      <c r="A71" s="9" t="s">
        <v>70</v>
      </c>
      <c r="B71" s="9">
        <v>480</v>
      </c>
      <c r="C71" s="611">
        <v>359</v>
      </c>
      <c r="D71" s="611">
        <v>380</v>
      </c>
    </row>
    <row r="72" spans="1:12" x14ac:dyDescent="0.3">
      <c r="A72" s="9" t="s">
        <v>71</v>
      </c>
      <c r="B72" s="9">
        <v>65</v>
      </c>
      <c r="C72" s="611">
        <v>129</v>
      </c>
      <c r="D72" s="611">
        <v>120</v>
      </c>
    </row>
    <row r="73" spans="1:12" x14ac:dyDescent="0.3">
      <c r="A73" s="9" t="s">
        <v>328</v>
      </c>
      <c r="B73" s="9">
        <v>12</v>
      </c>
      <c r="C73" s="611">
        <v>17</v>
      </c>
      <c r="D73" s="611">
        <v>14</v>
      </c>
    </row>
    <row r="74" spans="1:12" x14ac:dyDescent="0.3">
      <c r="A74" s="9" t="s">
        <v>338</v>
      </c>
      <c r="B74" s="9">
        <v>4</v>
      </c>
      <c r="C74" s="611">
        <v>3</v>
      </c>
      <c r="D74" s="611">
        <v>4</v>
      </c>
    </row>
    <row r="75" spans="1:12" x14ac:dyDescent="0.3">
      <c r="A75" s="9" t="s">
        <v>34</v>
      </c>
      <c r="B75" s="9">
        <v>145</v>
      </c>
      <c r="C75" s="611">
        <v>174</v>
      </c>
      <c r="D75" s="611">
        <v>190</v>
      </c>
    </row>
    <row r="76" spans="1:12" x14ac:dyDescent="0.3">
      <c r="A76" s="9" t="s">
        <v>35</v>
      </c>
      <c r="B76" s="9">
        <v>177</v>
      </c>
      <c r="C76" s="611">
        <v>126</v>
      </c>
      <c r="D76" s="611">
        <v>190</v>
      </c>
    </row>
    <row r="77" spans="1:12" x14ac:dyDescent="0.3">
      <c r="A77" s="9" t="s">
        <v>721</v>
      </c>
      <c r="B77" s="9">
        <v>16</v>
      </c>
      <c r="C77" s="611">
        <v>25</v>
      </c>
      <c r="D77" s="611">
        <v>23</v>
      </c>
    </row>
    <row r="78" spans="1:12" x14ac:dyDescent="0.3">
      <c r="A78" s="9" t="s">
        <v>72</v>
      </c>
      <c r="B78" s="9">
        <v>79</v>
      </c>
      <c r="C78" s="611">
        <v>50</v>
      </c>
      <c r="D78" s="611">
        <v>67</v>
      </c>
    </row>
    <row r="79" spans="1:12" x14ac:dyDescent="0.3">
      <c r="A79" s="9" t="s">
        <v>339</v>
      </c>
      <c r="B79" s="9">
        <v>5</v>
      </c>
      <c r="C79" s="611">
        <v>8</v>
      </c>
      <c r="D79" s="611">
        <v>9</v>
      </c>
    </row>
    <row r="80" spans="1:12" x14ac:dyDescent="0.3">
      <c r="A80" s="9" t="s">
        <v>315</v>
      </c>
      <c r="B80" s="9">
        <v>3</v>
      </c>
      <c r="C80" s="611">
        <v>5</v>
      </c>
      <c r="D80" s="611">
        <v>2</v>
      </c>
    </row>
    <row r="81" spans="1:4" x14ac:dyDescent="0.3">
      <c r="A81" s="9" t="s">
        <v>349</v>
      </c>
      <c r="B81" s="9">
        <v>2</v>
      </c>
      <c r="C81" s="611">
        <v>4</v>
      </c>
      <c r="D81" s="611">
        <v>4</v>
      </c>
    </row>
    <row r="82" spans="1:4" x14ac:dyDescent="0.3">
      <c r="A82" s="9" t="s">
        <v>194</v>
      </c>
      <c r="B82" s="9">
        <v>80</v>
      </c>
      <c r="C82" s="611">
        <v>89</v>
      </c>
      <c r="D82" s="611">
        <v>80</v>
      </c>
    </row>
    <row r="83" spans="1:4" x14ac:dyDescent="0.3">
      <c r="A83" s="9" t="s">
        <v>302</v>
      </c>
      <c r="B83" s="9">
        <v>5</v>
      </c>
      <c r="C83" s="611">
        <v>5</v>
      </c>
      <c r="D83" s="611">
        <v>6</v>
      </c>
    </row>
    <row r="84" spans="1:4" x14ac:dyDescent="0.3">
      <c r="A84" s="9" t="s">
        <v>195</v>
      </c>
      <c r="B84" s="9">
        <v>46</v>
      </c>
      <c r="C84" s="611">
        <v>58</v>
      </c>
      <c r="D84" s="611">
        <v>50</v>
      </c>
    </row>
    <row r="85" spans="1:4" x14ac:dyDescent="0.3">
      <c r="A85" s="9" t="s">
        <v>196</v>
      </c>
      <c r="B85" s="9">
        <v>10</v>
      </c>
      <c r="C85" s="611">
        <v>12</v>
      </c>
      <c r="D85" s="611">
        <v>26</v>
      </c>
    </row>
    <row r="86" spans="1:4" x14ac:dyDescent="0.3">
      <c r="A86" s="9" t="s">
        <v>36</v>
      </c>
      <c r="B86" s="9">
        <v>342</v>
      </c>
      <c r="C86" s="611">
        <v>510</v>
      </c>
      <c r="D86" s="611">
        <v>400</v>
      </c>
    </row>
    <row r="87" spans="1:4" x14ac:dyDescent="0.3">
      <c r="A87" s="9" t="s">
        <v>402</v>
      </c>
      <c r="B87" s="9">
        <v>92</v>
      </c>
      <c r="C87" s="611">
        <v>90</v>
      </c>
      <c r="D87" s="611">
        <v>130</v>
      </c>
    </row>
    <row r="88" spans="1:4" x14ac:dyDescent="0.3">
      <c r="A88" s="9" t="s">
        <v>316</v>
      </c>
      <c r="B88" s="9">
        <v>12</v>
      </c>
      <c r="C88" s="611">
        <v>4</v>
      </c>
      <c r="D88" s="611">
        <v>14</v>
      </c>
    </row>
    <row r="89" spans="1:4" x14ac:dyDescent="0.3">
      <c r="A89" s="9" t="s">
        <v>796</v>
      </c>
      <c r="B89" s="9">
        <v>60</v>
      </c>
      <c r="C89" s="611">
        <v>76</v>
      </c>
      <c r="D89" s="611">
        <v>75</v>
      </c>
    </row>
    <row r="90" spans="1:4" x14ac:dyDescent="0.3">
      <c r="A90" s="9" t="s">
        <v>116</v>
      </c>
      <c r="B90" s="9">
        <v>185</v>
      </c>
      <c r="C90" s="611">
        <v>197</v>
      </c>
      <c r="D90" s="611">
        <v>220</v>
      </c>
    </row>
    <row r="91" spans="1:4" x14ac:dyDescent="0.3">
      <c r="A91" s="9" t="s">
        <v>340</v>
      </c>
      <c r="B91" s="9">
        <v>19</v>
      </c>
      <c r="C91" s="611">
        <v>18</v>
      </c>
      <c r="D91" s="611">
        <v>13</v>
      </c>
    </row>
    <row r="92" spans="1:4" x14ac:dyDescent="0.3">
      <c r="A92" s="9" t="s">
        <v>317</v>
      </c>
      <c r="B92" s="9">
        <v>29</v>
      </c>
      <c r="C92" s="611">
        <v>15</v>
      </c>
      <c r="D92" s="611">
        <v>16</v>
      </c>
    </row>
    <row r="93" spans="1:4" x14ac:dyDescent="0.3">
      <c r="A93" s="9" t="s">
        <v>73</v>
      </c>
      <c r="B93" s="9">
        <v>544</v>
      </c>
      <c r="C93" s="611">
        <v>487</v>
      </c>
      <c r="D93" s="611">
        <v>490</v>
      </c>
    </row>
    <row r="94" spans="1:4" x14ac:dyDescent="0.3">
      <c r="A94" s="9" t="s">
        <v>74</v>
      </c>
      <c r="B94" s="9">
        <v>661</v>
      </c>
      <c r="C94" s="611">
        <v>725</v>
      </c>
      <c r="D94" s="611">
        <v>640</v>
      </c>
    </row>
    <row r="95" spans="1:4" x14ac:dyDescent="0.3">
      <c r="A95" s="9" t="s">
        <v>294</v>
      </c>
      <c r="B95" s="9">
        <v>72</v>
      </c>
      <c r="C95" s="611">
        <v>9</v>
      </c>
      <c r="D95" s="611">
        <v>15</v>
      </c>
    </row>
    <row r="96" spans="1:4" x14ac:dyDescent="0.3">
      <c r="A96" s="9" t="s">
        <v>341</v>
      </c>
      <c r="B96" s="9">
        <v>8</v>
      </c>
      <c r="C96" s="611">
        <v>10</v>
      </c>
      <c r="D96" s="611">
        <v>11</v>
      </c>
    </row>
    <row r="97" spans="1:4" x14ac:dyDescent="0.3">
      <c r="A97" s="9" t="s">
        <v>361</v>
      </c>
      <c r="B97" s="9">
        <v>5</v>
      </c>
      <c r="C97" s="611">
        <v>10</v>
      </c>
      <c r="D97" s="611">
        <v>11</v>
      </c>
    </row>
    <row r="98" spans="1:4" x14ac:dyDescent="0.3">
      <c r="A98" s="9" t="s">
        <v>75</v>
      </c>
      <c r="B98" s="9">
        <v>335</v>
      </c>
      <c r="C98" s="611">
        <v>353</v>
      </c>
      <c r="D98" s="611">
        <v>440</v>
      </c>
    </row>
    <row r="99" spans="1:4" x14ac:dyDescent="0.3">
      <c r="A99" s="9" t="s">
        <v>37</v>
      </c>
      <c r="B99" s="9">
        <v>349</v>
      </c>
      <c r="C99" s="611">
        <v>634</v>
      </c>
      <c r="D99" s="611">
        <v>510</v>
      </c>
    </row>
    <row r="100" spans="1:4" x14ac:dyDescent="0.3">
      <c r="A100" s="9" t="s">
        <v>310</v>
      </c>
      <c r="B100" s="9">
        <v>29</v>
      </c>
      <c r="C100" s="611">
        <v>40</v>
      </c>
      <c r="D100" s="611">
        <v>29</v>
      </c>
    </row>
    <row r="101" spans="1:4" x14ac:dyDescent="0.3">
      <c r="A101" s="9" t="s">
        <v>198</v>
      </c>
      <c r="B101" s="9">
        <v>53</v>
      </c>
      <c r="C101" s="611">
        <v>68</v>
      </c>
      <c r="D101" s="611">
        <v>31</v>
      </c>
    </row>
    <row r="102" spans="1:4" x14ac:dyDescent="0.3">
      <c r="A102" s="9" t="s">
        <v>76</v>
      </c>
      <c r="B102" s="9">
        <v>562</v>
      </c>
      <c r="C102" s="611">
        <v>587</v>
      </c>
      <c r="D102" s="611">
        <v>550</v>
      </c>
    </row>
    <row r="103" spans="1:4" x14ac:dyDescent="0.3">
      <c r="A103" s="9" t="s">
        <v>350</v>
      </c>
      <c r="B103" s="9">
        <v>6</v>
      </c>
      <c r="C103" s="611">
        <v>9</v>
      </c>
      <c r="D103" s="611">
        <v>9</v>
      </c>
    </row>
    <row r="104" spans="1:4" x14ac:dyDescent="0.3">
      <c r="A104" s="9" t="s">
        <v>77</v>
      </c>
      <c r="B104" s="9">
        <v>766</v>
      </c>
      <c r="C104" s="611">
        <v>602</v>
      </c>
      <c r="D104" s="611">
        <v>320</v>
      </c>
    </row>
    <row r="105" spans="1:4" x14ac:dyDescent="0.3">
      <c r="A105" s="9" t="s">
        <v>287</v>
      </c>
      <c r="B105" s="9">
        <v>61</v>
      </c>
      <c r="C105" s="611">
        <v>53</v>
      </c>
      <c r="D105" s="611">
        <v>73</v>
      </c>
    </row>
    <row r="106" spans="1:4" x14ac:dyDescent="0.3">
      <c r="A106" s="9" t="s">
        <v>381</v>
      </c>
      <c r="B106" s="9">
        <v>33</v>
      </c>
      <c r="C106" s="611">
        <v>38</v>
      </c>
      <c r="D106" s="611">
        <v>49</v>
      </c>
    </row>
    <row r="107" spans="1:4" x14ac:dyDescent="0.3">
      <c r="A107" s="9" t="s">
        <v>496</v>
      </c>
      <c r="B107" s="9">
        <v>88</v>
      </c>
      <c r="C107" s="611">
        <v>100</v>
      </c>
      <c r="D107" s="611">
        <v>96</v>
      </c>
    </row>
    <row r="108" spans="1:4" x14ac:dyDescent="0.3">
      <c r="A108" s="9" t="s">
        <v>78</v>
      </c>
      <c r="B108" s="9">
        <v>45</v>
      </c>
      <c r="C108" s="611">
        <v>44</v>
      </c>
      <c r="D108" s="611">
        <v>68</v>
      </c>
    </row>
    <row r="109" spans="1:4" x14ac:dyDescent="0.3">
      <c r="A109" s="9" t="s">
        <v>351</v>
      </c>
      <c r="B109" s="9">
        <v>6</v>
      </c>
      <c r="C109" s="611">
        <v>7</v>
      </c>
      <c r="D109" s="611">
        <v>7</v>
      </c>
    </row>
    <row r="110" spans="1:4" x14ac:dyDescent="0.3">
      <c r="A110" s="9" t="s">
        <v>202</v>
      </c>
      <c r="B110" s="9">
        <v>70</v>
      </c>
      <c r="C110" s="611">
        <v>121</v>
      </c>
      <c r="D110" s="611">
        <v>120</v>
      </c>
    </row>
    <row r="111" spans="1:4" x14ac:dyDescent="0.3">
      <c r="A111" s="9" t="s">
        <v>38</v>
      </c>
      <c r="B111" s="9">
        <v>289</v>
      </c>
      <c r="C111" s="611">
        <v>489</v>
      </c>
      <c r="D111" s="611">
        <v>480</v>
      </c>
    </row>
    <row r="112" spans="1:4" x14ac:dyDescent="0.3">
      <c r="A112" s="9" t="s">
        <v>79</v>
      </c>
      <c r="B112" s="9">
        <v>250</v>
      </c>
      <c r="C112" s="611">
        <v>178</v>
      </c>
      <c r="D112" s="611">
        <v>200</v>
      </c>
    </row>
    <row r="113" spans="1:4" x14ac:dyDescent="0.3">
      <c r="A113" s="9" t="s">
        <v>204</v>
      </c>
      <c r="B113" s="9">
        <v>195</v>
      </c>
      <c r="C113" s="611">
        <v>265</v>
      </c>
      <c r="D113" s="611">
        <v>130</v>
      </c>
    </row>
    <row r="114" spans="1:4" x14ac:dyDescent="0.3">
      <c r="A114" s="9" t="s">
        <v>80</v>
      </c>
      <c r="B114" s="9">
        <v>186</v>
      </c>
      <c r="C114" s="611">
        <v>258</v>
      </c>
      <c r="D114" s="611">
        <v>190</v>
      </c>
    </row>
    <row r="115" spans="1:4" x14ac:dyDescent="0.3">
      <c r="A115" s="9" t="s">
        <v>362</v>
      </c>
      <c r="B115" s="9">
        <v>5</v>
      </c>
      <c r="C115" s="611">
        <v>7</v>
      </c>
      <c r="D115" s="611">
        <v>6</v>
      </c>
    </row>
    <row r="116" spans="1:4" x14ac:dyDescent="0.3">
      <c r="A116" s="9" t="s">
        <v>395</v>
      </c>
      <c r="B116" s="9">
        <v>9</v>
      </c>
      <c r="C116" s="611">
        <v>11</v>
      </c>
      <c r="D116" s="611">
        <v>8</v>
      </c>
    </row>
    <row r="117" spans="1:4" x14ac:dyDescent="0.3">
      <c r="A117" s="9" t="s">
        <v>81</v>
      </c>
      <c r="B117" s="9">
        <v>98</v>
      </c>
      <c r="C117" s="611">
        <v>150</v>
      </c>
      <c r="D117" s="611">
        <v>100</v>
      </c>
    </row>
    <row r="118" spans="1:4" x14ac:dyDescent="0.3">
      <c r="A118" s="9" t="s">
        <v>39</v>
      </c>
      <c r="B118" s="9">
        <v>509</v>
      </c>
      <c r="C118" s="611">
        <v>553</v>
      </c>
      <c r="D118" s="611">
        <v>630</v>
      </c>
    </row>
    <row r="119" spans="1:4" x14ac:dyDescent="0.3">
      <c r="A119" s="9" t="s">
        <v>40</v>
      </c>
      <c r="B119" s="9">
        <v>917</v>
      </c>
      <c r="C119" s="611">
        <v>814</v>
      </c>
      <c r="D119" s="611">
        <v>560</v>
      </c>
    </row>
    <row r="120" spans="1:4" x14ac:dyDescent="0.3">
      <c r="A120" s="9" t="s">
        <v>342</v>
      </c>
      <c r="B120" s="9">
        <v>2</v>
      </c>
      <c r="C120" s="611">
        <v>5</v>
      </c>
      <c r="D120" s="611">
        <v>4</v>
      </c>
    </row>
    <row r="121" spans="1:4" x14ac:dyDescent="0.3">
      <c r="A121" s="9" t="s">
        <v>117</v>
      </c>
      <c r="B121" s="9">
        <v>27</v>
      </c>
      <c r="C121" s="611">
        <v>47</v>
      </c>
      <c r="D121" s="611">
        <v>47</v>
      </c>
    </row>
    <row r="122" spans="1:4" x14ac:dyDescent="0.3">
      <c r="A122" s="9" t="s">
        <v>318</v>
      </c>
      <c r="B122" s="9">
        <v>19</v>
      </c>
      <c r="C122" s="611">
        <v>17</v>
      </c>
      <c r="D122" s="611">
        <v>11</v>
      </c>
    </row>
    <row r="123" spans="1:4" x14ac:dyDescent="0.3">
      <c r="A123" s="9" t="s">
        <v>41</v>
      </c>
      <c r="B123" s="9">
        <v>140</v>
      </c>
      <c r="C123" s="611">
        <v>178</v>
      </c>
      <c r="D123" s="611">
        <v>170</v>
      </c>
    </row>
    <row r="124" spans="1:4" x14ac:dyDescent="0.3">
      <c r="A124" s="9" t="s">
        <v>382</v>
      </c>
      <c r="B124" s="9">
        <v>52</v>
      </c>
      <c r="C124" s="611">
        <v>94</v>
      </c>
      <c r="D124" s="611">
        <v>85</v>
      </c>
    </row>
    <row r="125" spans="1:4" x14ac:dyDescent="0.3">
      <c r="A125" s="9" t="s">
        <v>82</v>
      </c>
      <c r="B125" s="9">
        <v>145</v>
      </c>
      <c r="C125" s="611">
        <v>215</v>
      </c>
      <c r="D125" s="611">
        <v>220</v>
      </c>
    </row>
    <row r="126" spans="1:4" x14ac:dyDescent="0.3">
      <c r="A126" s="9" t="s">
        <v>206</v>
      </c>
      <c r="B126" s="9">
        <v>129</v>
      </c>
      <c r="C126" s="611">
        <v>132</v>
      </c>
      <c r="D126" s="611">
        <v>110</v>
      </c>
    </row>
    <row r="127" spans="1:4" x14ac:dyDescent="0.3">
      <c r="A127" s="9" t="s">
        <v>207</v>
      </c>
      <c r="B127" s="9">
        <v>88</v>
      </c>
      <c r="C127" s="611">
        <v>68</v>
      </c>
      <c r="D127" s="611">
        <v>89</v>
      </c>
    </row>
    <row r="128" spans="1:4" x14ac:dyDescent="0.3">
      <c r="A128" s="9" t="s">
        <v>42</v>
      </c>
      <c r="B128" s="9">
        <v>121</v>
      </c>
      <c r="C128" s="611">
        <v>114</v>
      </c>
      <c r="D128" s="611">
        <v>120</v>
      </c>
    </row>
    <row r="129" spans="1:4" x14ac:dyDescent="0.3">
      <c r="A129" s="9" t="s">
        <v>329</v>
      </c>
      <c r="B129" s="9">
        <v>2</v>
      </c>
      <c r="C129" s="611">
        <v>3</v>
      </c>
      <c r="D129" s="611">
        <v>3</v>
      </c>
    </row>
    <row r="130" spans="1:4" x14ac:dyDescent="0.3">
      <c r="A130" s="9" t="s">
        <v>352</v>
      </c>
      <c r="B130" s="9">
        <v>8</v>
      </c>
      <c r="C130" s="611">
        <v>10</v>
      </c>
      <c r="D130" s="611">
        <v>8</v>
      </c>
    </row>
    <row r="131" spans="1:4" x14ac:dyDescent="0.3">
      <c r="A131" s="9" t="s">
        <v>374</v>
      </c>
      <c r="B131" s="9">
        <v>21</v>
      </c>
      <c r="C131" s="611">
        <v>20</v>
      </c>
      <c r="D131" s="611">
        <v>20</v>
      </c>
    </row>
    <row r="132" spans="1:4" x14ac:dyDescent="0.3">
      <c r="A132" s="9" t="s">
        <v>319</v>
      </c>
      <c r="B132" s="9">
        <v>9</v>
      </c>
      <c r="C132" s="611">
        <v>13</v>
      </c>
      <c r="D132" s="611">
        <v>6</v>
      </c>
    </row>
    <row r="133" spans="1:4" x14ac:dyDescent="0.3">
      <c r="A133" s="9" t="s">
        <v>303</v>
      </c>
      <c r="B133" s="9">
        <v>11</v>
      </c>
      <c r="C133" s="611">
        <v>11</v>
      </c>
      <c r="D133" s="611">
        <v>27</v>
      </c>
    </row>
    <row r="134" spans="1:4" x14ac:dyDescent="0.3">
      <c r="A134" s="9" t="s">
        <v>330</v>
      </c>
      <c r="B134" s="9">
        <v>19</v>
      </c>
      <c r="C134" s="611">
        <v>23</v>
      </c>
      <c r="D134" s="611">
        <v>21</v>
      </c>
    </row>
    <row r="135" spans="1:4" x14ac:dyDescent="0.3">
      <c r="A135" s="9" t="s">
        <v>208</v>
      </c>
      <c r="B135" s="9">
        <v>19</v>
      </c>
      <c r="C135" s="611">
        <v>31</v>
      </c>
      <c r="D135" s="611">
        <v>33</v>
      </c>
    </row>
    <row r="136" spans="1:4" x14ac:dyDescent="0.3">
      <c r="A136" s="9" t="s">
        <v>331</v>
      </c>
      <c r="B136" s="9">
        <v>17</v>
      </c>
      <c r="C136" s="611">
        <v>25</v>
      </c>
      <c r="D136" s="611">
        <v>24</v>
      </c>
    </row>
    <row r="137" spans="1:4" x14ac:dyDescent="0.3">
      <c r="A137" s="9" t="s">
        <v>43</v>
      </c>
      <c r="B137" s="9">
        <v>248</v>
      </c>
      <c r="C137" s="611">
        <v>290</v>
      </c>
      <c r="D137" s="611">
        <v>320</v>
      </c>
    </row>
    <row r="138" spans="1:4" x14ac:dyDescent="0.3">
      <c r="A138" s="9" t="s">
        <v>375</v>
      </c>
      <c r="B138" s="9">
        <v>117</v>
      </c>
      <c r="C138" s="611">
        <v>48</v>
      </c>
      <c r="D138" s="611">
        <v>34</v>
      </c>
    </row>
    <row r="139" spans="1:4" x14ac:dyDescent="0.3">
      <c r="A139" s="9" t="s">
        <v>376</v>
      </c>
      <c r="B139" s="9">
        <v>68</v>
      </c>
      <c r="C139" s="611">
        <v>45</v>
      </c>
      <c r="D139" s="611">
        <v>45</v>
      </c>
    </row>
    <row r="140" spans="1:4" x14ac:dyDescent="0.3">
      <c r="A140" s="9" t="s">
        <v>406</v>
      </c>
      <c r="B140" s="9">
        <v>43</v>
      </c>
      <c r="C140" s="611">
        <v>51</v>
      </c>
      <c r="D140" s="611">
        <v>58</v>
      </c>
    </row>
    <row r="141" spans="1:4" x14ac:dyDescent="0.3">
      <c r="A141" s="9" t="s">
        <v>83</v>
      </c>
      <c r="B141" s="9">
        <v>130</v>
      </c>
      <c r="C141" s="611">
        <v>156</v>
      </c>
      <c r="D141" s="611">
        <v>210</v>
      </c>
    </row>
    <row r="142" spans="1:4" x14ac:dyDescent="0.3">
      <c r="A142" s="9" t="s">
        <v>320</v>
      </c>
      <c r="B142" s="9">
        <v>17</v>
      </c>
      <c r="C142" s="611">
        <v>12</v>
      </c>
      <c r="D142" s="611">
        <v>16</v>
      </c>
    </row>
    <row r="143" spans="1:4" x14ac:dyDescent="0.3">
      <c r="A143" s="9" t="s">
        <v>44</v>
      </c>
      <c r="B143" s="9">
        <v>315</v>
      </c>
      <c r="C143" s="611">
        <v>315</v>
      </c>
      <c r="D143" s="611">
        <v>320</v>
      </c>
    </row>
    <row r="144" spans="1:4" x14ac:dyDescent="0.3">
      <c r="A144" s="9" t="s">
        <v>353</v>
      </c>
      <c r="B144" s="9">
        <v>12</v>
      </c>
      <c r="C144" s="611">
        <v>17</v>
      </c>
      <c r="D144" s="611">
        <v>16</v>
      </c>
    </row>
    <row r="145" spans="1:4" x14ac:dyDescent="0.3">
      <c r="A145" s="9" t="s">
        <v>45</v>
      </c>
      <c r="B145" s="9">
        <v>1120</v>
      </c>
      <c r="C145" s="611">
        <v>1360</v>
      </c>
      <c r="D145" s="611">
        <v>1100</v>
      </c>
    </row>
    <row r="146" spans="1:4" x14ac:dyDescent="0.3">
      <c r="A146" s="9" t="s">
        <v>311</v>
      </c>
      <c r="B146" s="9">
        <v>8</v>
      </c>
      <c r="C146" s="611">
        <v>10</v>
      </c>
      <c r="D146" s="611">
        <v>6</v>
      </c>
    </row>
    <row r="147" spans="1:4" x14ac:dyDescent="0.3">
      <c r="A147" s="9" t="s">
        <v>332</v>
      </c>
      <c r="B147" s="9">
        <v>5</v>
      </c>
      <c r="C147" s="611">
        <v>6</v>
      </c>
      <c r="D147" s="611">
        <v>7</v>
      </c>
    </row>
    <row r="148" spans="1:4" x14ac:dyDescent="0.3">
      <c r="A148" s="9" t="s">
        <v>354</v>
      </c>
      <c r="B148" s="9">
        <v>7</v>
      </c>
      <c r="C148" s="611">
        <v>9</v>
      </c>
      <c r="D148" s="611">
        <v>7</v>
      </c>
    </row>
    <row r="149" spans="1:4" x14ac:dyDescent="0.3">
      <c r="A149" s="9" t="s">
        <v>46</v>
      </c>
      <c r="B149" s="9">
        <v>104</v>
      </c>
      <c r="C149" s="611">
        <v>114</v>
      </c>
      <c r="D149" s="611">
        <v>130</v>
      </c>
    </row>
    <row r="150" spans="1:4" x14ac:dyDescent="0.3">
      <c r="A150" s="9" t="s">
        <v>84</v>
      </c>
      <c r="B150" s="9">
        <v>829</v>
      </c>
      <c r="C150" s="611">
        <v>732</v>
      </c>
      <c r="D150" s="611">
        <v>850</v>
      </c>
    </row>
    <row r="151" spans="1:4" x14ac:dyDescent="0.3">
      <c r="A151" s="9" t="s">
        <v>53</v>
      </c>
      <c r="B151" s="9">
        <v>119</v>
      </c>
      <c r="C151" s="611">
        <v>138</v>
      </c>
      <c r="D151" s="611">
        <v>140</v>
      </c>
    </row>
    <row r="152" spans="1:4" x14ac:dyDescent="0.3">
      <c r="A152" s="9" t="s">
        <v>85</v>
      </c>
      <c r="B152" s="9">
        <v>1150</v>
      </c>
      <c r="C152" s="611">
        <v>789</v>
      </c>
      <c r="D152" s="611">
        <v>730</v>
      </c>
    </row>
    <row r="153" spans="1:4" x14ac:dyDescent="0.3">
      <c r="A153" s="9" t="s">
        <v>355</v>
      </c>
      <c r="B153" s="9">
        <v>4</v>
      </c>
      <c r="C153" s="611">
        <v>5</v>
      </c>
      <c r="D153" s="611">
        <v>4</v>
      </c>
    </row>
    <row r="154" spans="1:4" x14ac:dyDescent="0.3">
      <c r="A154" s="9" t="s">
        <v>86</v>
      </c>
      <c r="B154" s="9">
        <v>36</v>
      </c>
      <c r="C154" s="611">
        <v>30</v>
      </c>
      <c r="D154" s="611">
        <v>29</v>
      </c>
    </row>
    <row r="155" spans="1:4" x14ac:dyDescent="0.3">
      <c r="A155" s="9" t="s">
        <v>87</v>
      </c>
      <c r="B155" s="9">
        <v>295</v>
      </c>
      <c r="C155" s="611">
        <v>311</v>
      </c>
      <c r="D155" s="611">
        <v>360</v>
      </c>
    </row>
    <row r="156" spans="1:4" x14ac:dyDescent="0.3">
      <c r="A156" s="9" t="s">
        <v>386</v>
      </c>
      <c r="B156" s="9">
        <v>120</v>
      </c>
      <c r="C156" s="611">
        <v>155</v>
      </c>
      <c r="D156" s="611">
        <v>130</v>
      </c>
    </row>
    <row r="157" spans="1:4" x14ac:dyDescent="0.3">
      <c r="A157" s="9" t="s">
        <v>872</v>
      </c>
      <c r="B157" s="9">
        <v>437</v>
      </c>
      <c r="C157" s="611">
        <v>389</v>
      </c>
      <c r="D157" s="611">
        <v>310</v>
      </c>
    </row>
    <row r="158" spans="1:4" x14ac:dyDescent="0.3">
      <c r="A158" s="9" t="s">
        <v>343</v>
      </c>
      <c r="B158" s="9">
        <v>4</v>
      </c>
      <c r="C158" s="611">
        <v>4</v>
      </c>
      <c r="D158" s="611">
        <v>4</v>
      </c>
    </row>
    <row r="159" spans="1:4" x14ac:dyDescent="0.3">
      <c r="A159" s="9" t="s">
        <v>363</v>
      </c>
      <c r="B159" s="9">
        <v>5</v>
      </c>
      <c r="C159" s="611">
        <v>5</v>
      </c>
      <c r="D159" s="611">
        <v>6</v>
      </c>
    </row>
    <row r="160" spans="1:4" x14ac:dyDescent="0.3">
      <c r="A160" s="9" t="s">
        <v>321</v>
      </c>
      <c r="B160" s="9">
        <v>31</v>
      </c>
      <c r="C160" s="611">
        <v>68</v>
      </c>
      <c r="D160" s="611">
        <v>49</v>
      </c>
    </row>
    <row r="161" spans="1:4" x14ac:dyDescent="0.3">
      <c r="A161" s="9" t="s">
        <v>88</v>
      </c>
      <c r="B161" s="9">
        <v>17</v>
      </c>
      <c r="C161" s="611">
        <v>32</v>
      </c>
      <c r="D161" s="611">
        <v>44</v>
      </c>
    </row>
    <row r="162" spans="1:4" x14ac:dyDescent="0.3">
      <c r="A162" s="9" t="s">
        <v>312</v>
      </c>
      <c r="B162" s="9">
        <v>37</v>
      </c>
      <c r="C162" s="611">
        <v>20</v>
      </c>
      <c r="D162" s="611">
        <v>26</v>
      </c>
    </row>
    <row r="163" spans="1:4" x14ac:dyDescent="0.3">
      <c r="A163" s="9" t="s">
        <v>873</v>
      </c>
      <c r="B163" s="9">
        <v>7</v>
      </c>
      <c r="C163" s="611">
        <v>8</v>
      </c>
      <c r="D163" s="611">
        <v>7</v>
      </c>
    </row>
    <row r="164" spans="1:4" x14ac:dyDescent="0.3">
      <c r="A164" s="9" t="s">
        <v>89</v>
      </c>
      <c r="B164" s="9">
        <v>142</v>
      </c>
      <c r="C164" s="611">
        <v>215</v>
      </c>
      <c r="D164" s="611">
        <v>270</v>
      </c>
    </row>
    <row r="165" spans="1:4" x14ac:dyDescent="0.3">
      <c r="A165" s="9" t="s">
        <v>90</v>
      </c>
      <c r="B165" s="9">
        <v>396</v>
      </c>
      <c r="C165" s="611">
        <v>368</v>
      </c>
      <c r="D165" s="611">
        <v>450</v>
      </c>
    </row>
    <row r="166" spans="1:4" x14ac:dyDescent="0.3">
      <c r="A166" s="9" t="s">
        <v>407</v>
      </c>
      <c r="B166" s="9">
        <v>52</v>
      </c>
      <c r="C166" s="611">
        <v>124</v>
      </c>
      <c r="D166" s="611">
        <v>120</v>
      </c>
    </row>
    <row r="167" spans="1:4" x14ac:dyDescent="0.3">
      <c r="A167" s="9" t="s">
        <v>377</v>
      </c>
      <c r="B167" s="9">
        <v>67</v>
      </c>
      <c r="C167" s="611">
        <v>63</v>
      </c>
      <c r="D167" s="611">
        <v>84</v>
      </c>
    </row>
    <row r="168" spans="1:4" x14ac:dyDescent="0.3">
      <c r="A168" s="9" t="s">
        <v>295</v>
      </c>
      <c r="B168" s="9">
        <v>43</v>
      </c>
      <c r="C168" s="611">
        <v>62</v>
      </c>
      <c r="D168" s="611">
        <v>46</v>
      </c>
    </row>
    <row r="169" spans="1:4" x14ac:dyDescent="0.3">
      <c r="A169" s="9" t="s">
        <v>213</v>
      </c>
      <c r="B169" s="9">
        <v>17</v>
      </c>
      <c r="C169" s="611">
        <v>16</v>
      </c>
      <c r="D169" s="611">
        <v>20</v>
      </c>
    </row>
    <row r="170" spans="1:4" x14ac:dyDescent="0.3">
      <c r="A170" s="9" t="s">
        <v>215</v>
      </c>
      <c r="B170" s="9">
        <v>7</v>
      </c>
      <c r="C170" s="611">
        <v>42</v>
      </c>
      <c r="D170" s="611">
        <v>61</v>
      </c>
    </row>
    <row r="171" spans="1:4" x14ac:dyDescent="0.3">
      <c r="A171" s="9" t="s">
        <v>47</v>
      </c>
      <c r="B171" s="9">
        <v>375</v>
      </c>
      <c r="C171" s="611">
        <v>343</v>
      </c>
      <c r="D171" s="611">
        <v>360</v>
      </c>
    </row>
    <row r="172" spans="1:4" x14ac:dyDescent="0.3">
      <c r="A172" s="9" t="s">
        <v>217</v>
      </c>
      <c r="B172" s="9">
        <v>19</v>
      </c>
      <c r="C172" s="611">
        <v>24</v>
      </c>
      <c r="D172" s="611">
        <v>23</v>
      </c>
    </row>
    <row r="173" spans="1:4" x14ac:dyDescent="0.3">
      <c r="A173" s="9" t="s">
        <v>322</v>
      </c>
      <c r="B173" s="9">
        <v>3</v>
      </c>
      <c r="C173" s="611">
        <v>6</v>
      </c>
      <c r="D173" s="611">
        <v>8</v>
      </c>
    </row>
    <row r="174" spans="1:4" x14ac:dyDescent="0.3">
      <c r="A174" s="9" t="s">
        <v>344</v>
      </c>
      <c r="B174" s="9">
        <v>7</v>
      </c>
      <c r="C174" s="611">
        <v>9</v>
      </c>
      <c r="D174" s="611">
        <v>8</v>
      </c>
    </row>
    <row r="175" spans="1:4" x14ac:dyDescent="0.3">
      <c r="A175" s="9" t="s">
        <v>210</v>
      </c>
      <c r="B175" s="9">
        <v>524</v>
      </c>
      <c r="C175" s="611">
        <v>398</v>
      </c>
      <c r="D175" s="611">
        <v>410</v>
      </c>
    </row>
    <row r="176" spans="1:4" x14ac:dyDescent="0.3">
      <c r="A176" s="9" t="s">
        <v>391</v>
      </c>
      <c r="B176" s="9">
        <v>19</v>
      </c>
      <c r="C176" s="611">
        <v>14</v>
      </c>
      <c r="D176" s="611">
        <v>28</v>
      </c>
    </row>
    <row r="177" spans="1:4" x14ac:dyDescent="0.3">
      <c r="A177" s="9" t="s">
        <v>387</v>
      </c>
      <c r="B177" s="9">
        <v>17</v>
      </c>
      <c r="C177" s="611">
        <v>15</v>
      </c>
      <c r="D177" s="611">
        <v>14</v>
      </c>
    </row>
    <row r="178" spans="1:4" x14ac:dyDescent="0.3">
      <c r="A178" s="9" t="s">
        <v>91</v>
      </c>
      <c r="B178" s="9">
        <v>29</v>
      </c>
      <c r="C178" s="611">
        <v>36</v>
      </c>
      <c r="D178" s="611">
        <v>36</v>
      </c>
    </row>
    <row r="179" spans="1:4" x14ac:dyDescent="0.3">
      <c r="A179" s="9" t="s">
        <v>399</v>
      </c>
      <c r="B179" s="9">
        <v>72</v>
      </c>
      <c r="C179" s="611">
        <v>78</v>
      </c>
      <c r="D179" s="611">
        <v>86</v>
      </c>
    </row>
    <row r="180" spans="1:4" x14ac:dyDescent="0.3">
      <c r="A180" s="9" t="s">
        <v>729</v>
      </c>
      <c r="B180" s="9">
        <v>125</v>
      </c>
      <c r="C180" s="611">
        <v>95</v>
      </c>
      <c r="D180" s="611">
        <v>110</v>
      </c>
    </row>
    <row r="181" spans="1:4" x14ac:dyDescent="0.3">
      <c r="A181" s="9" t="s">
        <v>92</v>
      </c>
      <c r="B181" s="9">
        <v>43</v>
      </c>
      <c r="C181" s="611">
        <v>54</v>
      </c>
      <c r="D181" s="611">
        <v>49</v>
      </c>
    </row>
    <row r="182" spans="1:4" x14ac:dyDescent="0.3">
      <c r="A182" s="9" t="s">
        <v>94</v>
      </c>
      <c r="B182" s="9">
        <v>164</v>
      </c>
      <c r="C182" s="611">
        <v>385</v>
      </c>
      <c r="D182" s="611">
        <v>270</v>
      </c>
    </row>
    <row r="183" spans="1:4" x14ac:dyDescent="0.3">
      <c r="A183" s="9" t="s">
        <v>48</v>
      </c>
      <c r="B183" s="9">
        <v>213</v>
      </c>
      <c r="C183" s="611">
        <v>224</v>
      </c>
      <c r="D183" s="611">
        <v>280</v>
      </c>
    </row>
    <row r="184" spans="1:4" x14ac:dyDescent="0.3">
      <c r="A184" s="9" t="s">
        <v>49</v>
      </c>
      <c r="B184" s="9">
        <v>458</v>
      </c>
      <c r="C184" s="611">
        <v>443</v>
      </c>
      <c r="D184" s="611">
        <v>470</v>
      </c>
    </row>
    <row r="188" spans="1:4" x14ac:dyDescent="0.3">
      <c r="A188" s="1" t="s">
        <v>959</v>
      </c>
    </row>
    <row r="189" spans="1:4" x14ac:dyDescent="0.3">
      <c r="A189" s="1" t="s">
        <v>960</v>
      </c>
    </row>
    <row r="190" spans="1:4" x14ac:dyDescent="0.3">
      <c r="A190" s="1" t="s">
        <v>961</v>
      </c>
    </row>
    <row r="192" spans="1:4" x14ac:dyDescent="0.3">
      <c r="A192" s="613" t="s">
        <v>958</v>
      </c>
    </row>
    <row r="193" spans="1:2" x14ac:dyDescent="0.3">
      <c r="A193" s="614" t="s">
        <v>498</v>
      </c>
      <c r="B193" s="610"/>
    </row>
    <row r="194" spans="1:2" x14ac:dyDescent="0.3">
      <c r="A194" s="613" t="s">
        <v>499</v>
      </c>
    </row>
  </sheetData>
  <hyperlinks>
    <hyperlink ref="A193" r:id="rId1" xr:uid="{4B10B9DD-6D20-468E-B5AA-6B362E6488F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D3222-5B21-4645-A80E-7C0AA72C8127}">
  <sheetPr codeName="Sheet24">
    <tabColor theme="8"/>
  </sheetPr>
  <dimension ref="A1:AB1"/>
  <sheetViews>
    <sheetView workbookViewId="0">
      <selection activeCell="A2" sqref="A2:XFD1282"/>
    </sheetView>
  </sheetViews>
  <sheetFormatPr defaultColWidth="8.88671875" defaultRowHeight="14.4" x14ac:dyDescent="0.3"/>
  <cols>
    <col min="1" max="4" width="8.88671875" style="716"/>
    <col min="5" max="5" width="13.109375" style="716" customWidth="1"/>
    <col min="6" max="6" width="11.33203125" style="716" customWidth="1"/>
    <col min="7" max="7" width="20" style="716" customWidth="1"/>
    <col min="8" max="16384" width="8.88671875" style="716"/>
  </cols>
  <sheetData>
    <row r="1" spans="1:28" s="13" customFormat="1" ht="86.4" x14ac:dyDescent="0.3">
      <c r="A1" s="13" t="s">
        <v>1071</v>
      </c>
      <c r="B1" s="13" t="s">
        <v>1072</v>
      </c>
      <c r="C1" s="13" t="s">
        <v>1073</v>
      </c>
      <c r="D1" s="13" t="s">
        <v>10</v>
      </c>
      <c r="E1" s="13" t="s">
        <v>1074</v>
      </c>
      <c r="F1" s="13" t="s">
        <v>1075</v>
      </c>
      <c r="G1" s="13" t="s">
        <v>1076</v>
      </c>
      <c r="H1" s="13" t="s">
        <v>1077</v>
      </c>
      <c r="I1" s="13" t="s">
        <v>1078</v>
      </c>
      <c r="J1" s="13" t="s">
        <v>1079</v>
      </c>
      <c r="K1" s="13" t="s">
        <v>1080</v>
      </c>
      <c r="L1" s="13" t="s">
        <v>1081</v>
      </c>
      <c r="M1" s="13" t="s">
        <v>1082</v>
      </c>
      <c r="N1" s="13" t="s">
        <v>1083</v>
      </c>
      <c r="O1" s="13" t="s">
        <v>1084</v>
      </c>
      <c r="P1" s="13" t="s">
        <v>1085</v>
      </c>
      <c r="Q1" s="13" t="s">
        <v>1086</v>
      </c>
      <c r="R1" s="13" t="s">
        <v>1087</v>
      </c>
      <c r="S1" s="13" t="s">
        <v>1088</v>
      </c>
      <c r="T1" s="13" t="s">
        <v>1089</v>
      </c>
      <c r="U1" s="13" t="s">
        <v>1090</v>
      </c>
      <c r="V1" s="13" t="s">
        <v>1091</v>
      </c>
      <c r="W1" s="13" t="s">
        <v>1092</v>
      </c>
      <c r="X1" s="13" t="s">
        <v>1093</v>
      </c>
      <c r="Y1" s="13" t="s">
        <v>1094</v>
      </c>
      <c r="Z1" s="13" t="s">
        <v>1095</v>
      </c>
      <c r="AA1" s="13" t="s">
        <v>1096</v>
      </c>
      <c r="AB1" s="13" t="s">
        <v>1097</v>
      </c>
    </row>
  </sheetData>
  <autoFilter ref="A1:AB1282" xr:uid="{60ED3222-5B21-4645-A80E-7C0AA72C8127}"/>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D9C5-B6F6-4FD8-89F2-B713382C50FC}">
  <sheetPr codeName="Sheet22">
    <tabColor rgb="FF00B050"/>
    <pageSetUpPr autoPageBreaks="0"/>
  </sheetPr>
  <dimension ref="A1:DY220"/>
  <sheetViews>
    <sheetView showGridLines="0" zoomScale="70" zoomScaleNormal="70" workbookViewId="0">
      <pane xSplit="3" ySplit="5" topLeftCell="D6" activePane="bottomRight" state="frozen"/>
      <selection pane="topRight" activeCell="D1" sqref="D1"/>
      <selection pane="bottomLeft" activeCell="A6" sqref="A6"/>
      <selection pane="bottomRight" activeCell="AQ5" sqref="AQ5:AY5"/>
    </sheetView>
  </sheetViews>
  <sheetFormatPr defaultColWidth="9.109375" defaultRowHeight="14.4" x14ac:dyDescent="0.3"/>
  <cols>
    <col min="1" max="1" width="18.6640625" style="451" customWidth="1"/>
    <col min="2" max="2" width="14.88671875" style="451" customWidth="1"/>
    <col min="3" max="3" width="15" style="451" customWidth="1"/>
    <col min="4" max="4" width="23.6640625" style="451" customWidth="1"/>
    <col min="5" max="5" width="10.44140625" style="525" customWidth="1"/>
    <col min="6" max="6" width="15.5546875" style="453" customWidth="1"/>
    <col min="7" max="7" width="10.44140625" style="454" customWidth="1"/>
    <col min="8" max="15" width="10.109375" style="454" bestFit="1" customWidth="1"/>
    <col min="16" max="16" width="8.6640625" style="455" customWidth="1"/>
    <col min="17" max="17" width="9.109375" style="455" customWidth="1"/>
    <col min="18" max="18" width="7.88671875" style="4" customWidth="1"/>
    <col min="19" max="19" width="8.33203125" style="4" customWidth="1"/>
    <col min="20" max="24" width="10.88671875" style="4" bestFit="1" customWidth="1"/>
    <col min="25" max="25" width="19.33203125" style="4" hidden="1" customWidth="1"/>
    <col min="26" max="30" width="15" style="4" hidden="1" customWidth="1"/>
    <col min="31" max="31" width="19.44140625" style="4" hidden="1" customWidth="1"/>
    <col min="32" max="32" width="15" style="4" hidden="1" customWidth="1"/>
    <col min="33" max="33" width="18.6640625" style="4" hidden="1" customWidth="1"/>
    <col min="34" max="51" width="16.88671875" style="4" customWidth="1"/>
    <col min="52" max="16384" width="9.109375" style="8"/>
  </cols>
  <sheetData>
    <row r="1" spans="1:51" x14ac:dyDescent="0.3">
      <c r="D1" s="452"/>
      <c r="E1" s="227"/>
      <c r="F1" s="453">
        <f>COUNTIF(F6:F75, "y")</f>
        <v>17</v>
      </c>
    </row>
    <row r="2" spans="1:51" x14ac:dyDescent="0.3">
      <c r="D2" s="456"/>
      <c r="E2" s="457"/>
      <c r="F2" s="458"/>
      <c r="G2" s="459"/>
      <c r="H2" s="460"/>
      <c r="I2" s="460"/>
      <c r="J2" s="460"/>
      <c r="K2" s="460"/>
      <c r="L2" s="460"/>
      <c r="M2" s="460"/>
      <c r="N2" s="460"/>
      <c r="O2" s="461"/>
      <c r="P2" s="462"/>
      <c r="Q2" s="463"/>
      <c r="R2" s="463"/>
      <c r="S2" s="463"/>
      <c r="T2" s="463"/>
      <c r="U2" s="463"/>
      <c r="V2" s="463"/>
      <c r="W2" s="463"/>
      <c r="X2" s="464"/>
      <c r="Y2" s="465"/>
      <c r="Z2" s="466"/>
      <c r="AA2" s="466"/>
      <c r="AB2" s="466"/>
      <c r="AC2" s="466"/>
      <c r="AD2" s="466"/>
      <c r="AE2" s="466"/>
      <c r="AF2" s="466"/>
      <c r="AG2" s="466"/>
      <c r="AH2" s="467"/>
      <c r="AI2" s="468"/>
      <c r="AJ2" s="468"/>
      <c r="AK2" s="468"/>
      <c r="AL2" s="468"/>
      <c r="AM2" s="468"/>
      <c r="AN2" s="468"/>
      <c r="AO2" s="468"/>
      <c r="AP2" s="469"/>
      <c r="AQ2" s="470"/>
      <c r="AR2" s="470"/>
      <c r="AS2" s="470"/>
      <c r="AT2" s="470"/>
      <c r="AU2" s="470"/>
      <c r="AV2" s="470"/>
      <c r="AW2" s="470"/>
      <c r="AX2" s="470"/>
      <c r="AY2" s="470"/>
    </row>
    <row r="3" spans="1:51" s="546" customFormat="1" ht="18.75" customHeight="1" x14ac:dyDescent="0.3">
      <c r="A3" s="545"/>
      <c r="D3" s="1125"/>
      <c r="E3" s="1125"/>
      <c r="F3" s="1125"/>
      <c r="G3" s="1119" t="s">
        <v>516</v>
      </c>
      <c r="H3" s="1120"/>
      <c r="I3" s="1120"/>
      <c r="J3" s="1120"/>
      <c r="K3" s="1120"/>
      <c r="L3" s="1120"/>
      <c r="M3" s="1120"/>
      <c r="N3" s="1120"/>
      <c r="O3" s="1121"/>
      <c r="P3" s="1122" t="s">
        <v>677</v>
      </c>
      <c r="Q3" s="1123"/>
      <c r="R3" s="1123"/>
      <c r="S3" s="1123"/>
      <c r="T3" s="1123"/>
      <c r="U3" s="1123"/>
      <c r="V3" s="1123"/>
      <c r="W3" s="1123"/>
      <c r="X3" s="1124"/>
      <c r="Y3" s="1129" t="s">
        <v>815</v>
      </c>
      <c r="Z3" s="1130"/>
      <c r="AA3" s="1130"/>
      <c r="AB3" s="1130"/>
      <c r="AC3" s="1130"/>
      <c r="AD3" s="1130"/>
      <c r="AE3" s="1130"/>
      <c r="AF3" s="1130"/>
      <c r="AG3" s="1131"/>
      <c r="AH3" s="1126" t="s">
        <v>687</v>
      </c>
      <c r="AI3" s="1127"/>
      <c r="AJ3" s="1127"/>
      <c r="AK3" s="1127"/>
      <c r="AL3" s="1127"/>
      <c r="AM3" s="1127"/>
      <c r="AN3" s="1127"/>
      <c r="AO3" s="1127"/>
      <c r="AP3" s="1128"/>
      <c r="AQ3" s="1115" t="s">
        <v>520</v>
      </c>
      <c r="AR3" s="1116"/>
      <c r="AS3" s="1116"/>
      <c r="AT3" s="1116"/>
      <c r="AU3" s="1116"/>
      <c r="AV3" s="1116"/>
      <c r="AW3" s="1116"/>
      <c r="AX3" s="1116"/>
      <c r="AY3" s="1117"/>
    </row>
    <row r="4" spans="1:51" s="546" customFormat="1" ht="67.5" customHeight="1" x14ac:dyDescent="0.3">
      <c r="A4" s="545"/>
      <c r="B4" s="545"/>
      <c r="C4" s="545"/>
      <c r="D4" s="1118"/>
      <c r="E4" s="1118"/>
      <c r="F4" s="1118"/>
      <c r="G4" s="547" t="s">
        <v>833</v>
      </c>
      <c r="H4" s="547" t="s">
        <v>834</v>
      </c>
      <c r="I4" s="547" t="s">
        <v>835</v>
      </c>
      <c r="J4" s="547" t="s">
        <v>836</v>
      </c>
      <c r="K4" s="547" t="s">
        <v>837</v>
      </c>
      <c r="L4" s="547" t="s">
        <v>838</v>
      </c>
      <c r="M4" s="547" t="s">
        <v>839</v>
      </c>
      <c r="N4" s="547" t="s">
        <v>840</v>
      </c>
      <c r="O4" s="547" t="s">
        <v>841</v>
      </c>
      <c r="P4" s="544" t="s">
        <v>842</v>
      </c>
      <c r="Q4" s="544" t="s">
        <v>843</v>
      </c>
      <c r="R4" s="544" t="s">
        <v>844</v>
      </c>
      <c r="S4" s="544" t="s">
        <v>845</v>
      </c>
      <c r="T4" s="544" t="s">
        <v>846</v>
      </c>
      <c r="U4" s="544" t="s">
        <v>847</v>
      </c>
      <c r="V4" s="544" t="s">
        <v>848</v>
      </c>
      <c r="W4" s="544" t="s">
        <v>849</v>
      </c>
      <c r="X4" s="544" t="s">
        <v>850</v>
      </c>
      <c r="Y4" s="1129"/>
      <c r="Z4" s="1130"/>
      <c r="AA4" s="1130"/>
      <c r="AB4" s="1130"/>
      <c r="AC4" s="1130"/>
      <c r="AD4" s="1130"/>
      <c r="AE4" s="1130"/>
      <c r="AF4" s="1130"/>
      <c r="AG4" s="1131"/>
      <c r="AH4" s="556" t="s">
        <v>851</v>
      </c>
      <c r="AI4" s="556" t="s">
        <v>852</v>
      </c>
      <c r="AJ4" s="556" t="s">
        <v>853</v>
      </c>
      <c r="AK4" s="556" t="s">
        <v>854</v>
      </c>
      <c r="AL4" s="556" t="s">
        <v>855</v>
      </c>
      <c r="AM4" s="556" t="s">
        <v>856</v>
      </c>
      <c r="AN4" s="556" t="s">
        <v>857</v>
      </c>
      <c r="AO4" s="556" t="s">
        <v>858</v>
      </c>
      <c r="AP4" s="556" t="s">
        <v>859</v>
      </c>
      <c r="AQ4" s="1115"/>
      <c r="AR4" s="1116"/>
      <c r="AS4" s="1116"/>
      <c r="AT4" s="1116"/>
      <c r="AU4" s="1116"/>
      <c r="AV4" s="1116"/>
      <c r="AW4" s="1116"/>
      <c r="AX4" s="1116"/>
      <c r="AY4" s="1117"/>
    </row>
    <row r="5" spans="1:51" s="146" customFormat="1" ht="69" customHeight="1" x14ac:dyDescent="0.3">
      <c r="A5" s="471" t="s">
        <v>29</v>
      </c>
      <c r="B5" s="471" t="s">
        <v>816</v>
      </c>
      <c r="C5" s="471" t="s">
        <v>235</v>
      </c>
      <c r="D5" s="472" t="s">
        <v>817</v>
      </c>
      <c r="E5" s="580" t="s">
        <v>10</v>
      </c>
      <c r="F5" s="580" t="s">
        <v>927</v>
      </c>
      <c r="G5" s="473">
        <v>2012</v>
      </c>
      <c r="H5" s="474">
        <v>2013</v>
      </c>
      <c r="I5" s="474">
        <v>2014</v>
      </c>
      <c r="J5" s="474">
        <v>2015</v>
      </c>
      <c r="K5" s="474">
        <v>2016</v>
      </c>
      <c r="L5" s="474">
        <v>2017</v>
      </c>
      <c r="M5" s="474">
        <v>2018</v>
      </c>
      <c r="N5" s="474">
        <v>2019</v>
      </c>
      <c r="O5" s="475">
        <v>2020</v>
      </c>
      <c r="P5" s="476">
        <v>2012</v>
      </c>
      <c r="Q5" s="477">
        <v>2013</v>
      </c>
      <c r="R5" s="477">
        <v>2014</v>
      </c>
      <c r="S5" s="477">
        <v>2015</v>
      </c>
      <c r="T5" s="477">
        <v>2016</v>
      </c>
      <c r="U5" s="477">
        <v>2017</v>
      </c>
      <c r="V5" s="477">
        <v>2018</v>
      </c>
      <c r="W5" s="477">
        <v>2019</v>
      </c>
      <c r="X5" s="478">
        <v>2020</v>
      </c>
      <c r="Y5" s="479">
        <v>2012.5</v>
      </c>
      <c r="Z5" s="480">
        <v>2013.5</v>
      </c>
      <c r="AA5" s="481">
        <v>2014.5</v>
      </c>
      <c r="AB5" s="481">
        <v>2015.5</v>
      </c>
      <c r="AC5" s="481">
        <v>2016.5</v>
      </c>
      <c r="AD5" s="481">
        <v>2017.5</v>
      </c>
      <c r="AE5" s="481">
        <v>2018.5</v>
      </c>
      <c r="AF5" s="481">
        <v>2019.5</v>
      </c>
      <c r="AG5" s="481">
        <v>2020.5</v>
      </c>
      <c r="AH5" s="482">
        <v>2012</v>
      </c>
      <c r="AI5" s="483">
        <v>2013</v>
      </c>
      <c r="AJ5" s="484">
        <v>2014</v>
      </c>
      <c r="AK5" s="484">
        <v>2015</v>
      </c>
      <c r="AL5" s="484">
        <v>2016</v>
      </c>
      <c r="AM5" s="484">
        <v>2017</v>
      </c>
      <c r="AN5" s="484">
        <v>2018</v>
      </c>
      <c r="AO5" s="484">
        <v>2019</v>
      </c>
      <c r="AP5" s="485">
        <v>2020</v>
      </c>
      <c r="AQ5" s="486">
        <v>2012</v>
      </c>
      <c r="AR5" s="486">
        <v>2013</v>
      </c>
      <c r="AS5" s="486">
        <v>2014</v>
      </c>
      <c r="AT5" s="486">
        <v>2015</v>
      </c>
      <c r="AU5" s="486">
        <v>2016</v>
      </c>
      <c r="AV5" s="486">
        <v>2017</v>
      </c>
      <c r="AW5" s="486">
        <v>2018</v>
      </c>
      <c r="AX5" s="486">
        <v>2019</v>
      </c>
      <c r="AY5" s="486">
        <v>2020</v>
      </c>
    </row>
    <row r="6" spans="1:51" ht="15" customHeight="1" x14ac:dyDescent="0.3">
      <c r="A6" s="573" t="s">
        <v>54</v>
      </c>
      <c r="B6" s="488" t="s">
        <v>819</v>
      </c>
      <c r="C6" s="487" t="s">
        <v>640</v>
      </c>
      <c r="D6" s="581" t="s">
        <v>797</v>
      </c>
      <c r="E6" s="581">
        <v>2015</v>
      </c>
      <c r="F6" s="581" t="s">
        <v>818</v>
      </c>
      <c r="G6" s="489">
        <v>0.16699999999999998</v>
      </c>
      <c r="H6" s="490">
        <v>0.17399999999999999</v>
      </c>
      <c r="I6" s="490">
        <v>0.183</v>
      </c>
      <c r="J6" s="490">
        <v>0.191</v>
      </c>
      <c r="K6" s="490">
        <v>0.192</v>
      </c>
      <c r="L6" s="490">
        <v>0.19800000000000001</v>
      </c>
      <c r="M6" s="490">
        <v>0.21</v>
      </c>
      <c r="N6" s="490">
        <v>0.221</v>
      </c>
      <c r="O6" s="491">
        <v>0.23199999999999998</v>
      </c>
      <c r="P6" s="489">
        <v>0.11773499999999998</v>
      </c>
      <c r="Q6" s="490">
        <v>0.12179999999999998</v>
      </c>
      <c r="R6" s="490">
        <v>0.12736799999999998</v>
      </c>
      <c r="S6" s="490">
        <v>0.13236299999999998</v>
      </c>
      <c r="T6" s="490">
        <v>0.13267199999999998</v>
      </c>
      <c r="U6" s="490">
        <v>0.13642200000000002</v>
      </c>
      <c r="V6" s="490">
        <v>0.14447999999999997</v>
      </c>
      <c r="W6" s="490">
        <v>0.15160599999999999</v>
      </c>
      <c r="X6" s="491">
        <v>0.158688</v>
      </c>
      <c r="Y6" s="492">
        <v>6630448</v>
      </c>
      <c r="Z6" s="492">
        <v>6942748.9999999991</v>
      </c>
      <c r="AA6" s="492">
        <v>7265276.9999999991</v>
      </c>
      <c r="AB6" s="492">
        <v>7586627</v>
      </c>
      <c r="AC6" s="492">
        <v>7894950.9999999991</v>
      </c>
      <c r="AD6" s="492">
        <v>8189705</v>
      </c>
      <c r="AE6" s="492">
        <v>8479510</v>
      </c>
      <c r="AF6" s="492">
        <v>8777690</v>
      </c>
      <c r="AG6" s="492">
        <v>9090962.0000000019</v>
      </c>
      <c r="AH6" s="493">
        <v>789953.46091499971</v>
      </c>
      <c r="AI6" s="494">
        <v>857374.43819999974</v>
      </c>
      <c r="AJ6" s="494">
        <v>939943.23379199975</v>
      </c>
      <c r="AK6" s="494">
        <v>1021556.1911939997</v>
      </c>
      <c r="AL6" s="494">
        <v>1065263.8202879997</v>
      </c>
      <c r="AM6" s="494">
        <v>1136404.9459620002</v>
      </c>
      <c r="AN6" s="494">
        <v>1246369.5787200001</v>
      </c>
      <c r="AO6" s="494">
        <v>1353760.0159719998</v>
      </c>
      <c r="AP6" s="495">
        <v>1467050.0892479997</v>
      </c>
      <c r="AQ6" s="494">
        <v>0</v>
      </c>
      <c r="AR6" s="494">
        <v>67420.97728500003</v>
      </c>
      <c r="AS6" s="494">
        <v>149989.77287700004</v>
      </c>
      <c r="AT6" s="494">
        <v>231602.73027900001</v>
      </c>
      <c r="AU6" s="494">
        <v>275310.35937299998</v>
      </c>
      <c r="AV6" s="494">
        <v>346451.48504700046</v>
      </c>
      <c r="AW6" s="494">
        <v>456416.11780500039</v>
      </c>
      <c r="AX6" s="494">
        <v>563806.55505700014</v>
      </c>
      <c r="AY6" s="494">
        <v>677096.628333</v>
      </c>
    </row>
    <row r="7" spans="1:51" ht="15" customHeight="1" x14ac:dyDescent="0.3">
      <c r="A7" s="574" t="s">
        <v>291</v>
      </c>
      <c r="B7" s="488" t="s">
        <v>819</v>
      </c>
      <c r="C7" s="487" t="s">
        <v>640</v>
      </c>
      <c r="D7" s="582" t="s">
        <v>797</v>
      </c>
      <c r="E7" s="582">
        <v>2015.5</v>
      </c>
      <c r="F7" s="582"/>
      <c r="G7" s="489">
        <v>0.12188234928372201</v>
      </c>
      <c r="H7" s="490">
        <v>0.123172816141429</v>
      </c>
      <c r="I7" s="490">
        <v>0.12494270610307499</v>
      </c>
      <c r="J7" s="490">
        <v>0.12707121770517099</v>
      </c>
      <c r="K7" s="490">
        <v>0.13056408994584701</v>
      </c>
      <c r="L7" s="490">
        <v>0.13501304050033899</v>
      </c>
      <c r="M7" s="490">
        <v>0.14003147741742999</v>
      </c>
      <c r="N7" s="490">
        <v>0.14511300133559299</v>
      </c>
      <c r="O7" s="491">
        <v>0.15083125989982599</v>
      </c>
      <c r="P7" s="489">
        <v>0.12188234928372201</v>
      </c>
      <c r="Q7" s="490">
        <v>0.123172816141429</v>
      </c>
      <c r="R7" s="490">
        <v>0.12494270610307499</v>
      </c>
      <c r="S7" s="490">
        <v>0.12707121770517099</v>
      </c>
      <c r="T7" s="490">
        <v>0.13056408994584701</v>
      </c>
      <c r="U7" s="490">
        <v>0.13501304050033899</v>
      </c>
      <c r="V7" s="490">
        <v>0.14003147741742999</v>
      </c>
      <c r="W7" s="490">
        <v>0.14511300133559299</v>
      </c>
      <c r="X7" s="491">
        <v>0.15083125989982599</v>
      </c>
      <c r="Y7" s="492">
        <v>43168672</v>
      </c>
      <c r="Z7" s="492">
        <v>43803412.000000007</v>
      </c>
      <c r="AA7" s="492">
        <v>44411303</v>
      </c>
      <c r="AB7" s="492">
        <v>44998720</v>
      </c>
      <c r="AC7" s="492">
        <v>45555381</v>
      </c>
      <c r="AD7" s="492">
        <v>46092484</v>
      </c>
      <c r="AE7" s="492">
        <v>46609032.000000007</v>
      </c>
      <c r="AF7" s="492">
        <v>47105051.000000007</v>
      </c>
      <c r="AG7" s="492">
        <v>47583850.000000007</v>
      </c>
      <c r="AH7" s="493">
        <v>695559.89724523458</v>
      </c>
      <c r="AI7" s="494">
        <v>728147.43451914284</v>
      </c>
      <c r="AJ7" s="494">
        <v>765327.30047413416</v>
      </c>
      <c r="AK7" s="494">
        <v>806829.67476252618</v>
      </c>
      <c r="AL7" s="494">
        <v>859108.05604915484</v>
      </c>
      <c r="AM7" s="494">
        <v>920953.1120695601</v>
      </c>
      <c r="AN7" s="494">
        <v>990461.6840544109</v>
      </c>
      <c r="AO7" s="494">
        <v>1064470.3265511864</v>
      </c>
      <c r="AP7" s="495">
        <v>1147503.2597727501</v>
      </c>
      <c r="AQ7" s="494">
        <v>0</v>
      </c>
      <c r="AR7" s="494">
        <v>32587.537273908267</v>
      </c>
      <c r="AS7" s="494">
        <v>69767.40322889958</v>
      </c>
      <c r="AT7" s="494">
        <v>111269.7775172916</v>
      </c>
      <c r="AU7" s="494">
        <v>163548.15880392026</v>
      </c>
      <c r="AV7" s="494">
        <v>225393.21482432552</v>
      </c>
      <c r="AW7" s="494">
        <v>294901.78680917632</v>
      </c>
      <c r="AX7" s="494">
        <v>368910.42930595181</v>
      </c>
      <c r="AY7" s="494">
        <v>451943.36252751551</v>
      </c>
    </row>
    <row r="8" spans="1:51" x14ac:dyDescent="0.3">
      <c r="A8" s="574" t="s">
        <v>30</v>
      </c>
      <c r="B8" s="488" t="s">
        <v>819</v>
      </c>
      <c r="C8" s="487" t="s">
        <v>243</v>
      </c>
      <c r="D8" s="582" t="s">
        <v>797</v>
      </c>
      <c r="E8" s="582">
        <v>2014</v>
      </c>
      <c r="F8" s="582"/>
      <c r="G8" s="498">
        <v>0.53411626803732404</v>
      </c>
      <c r="H8" s="499">
        <v>0.54215132699344104</v>
      </c>
      <c r="I8" s="499">
        <v>0.54609908466973101</v>
      </c>
      <c r="J8" s="499">
        <v>0.550839754519723</v>
      </c>
      <c r="K8" s="499">
        <v>0.55518589528298601</v>
      </c>
      <c r="L8" s="499">
        <v>0.560124941327379</v>
      </c>
      <c r="M8" s="499">
        <v>0.56299406824380105</v>
      </c>
      <c r="N8" s="499">
        <v>0.56638131557653404</v>
      </c>
      <c r="O8" s="500">
        <v>0.57050423501095704</v>
      </c>
      <c r="P8" s="489">
        <v>0.43953525195972298</v>
      </c>
      <c r="Q8" s="490">
        <v>0.44614746707866282</v>
      </c>
      <c r="R8" s="490">
        <v>0.44884407425661721</v>
      </c>
      <c r="S8" s="490">
        <v>0.45274047626480363</v>
      </c>
      <c r="T8" s="490">
        <v>0.45519007078490714</v>
      </c>
      <c r="U8" s="490">
        <v>0.45867327044750772</v>
      </c>
      <c r="V8" s="490">
        <v>0.46045356779782937</v>
      </c>
      <c r="W8" s="490">
        <v>0.46265129315554732</v>
      </c>
      <c r="X8" s="491">
        <v>0.46486560699054452</v>
      </c>
      <c r="Y8" s="492">
        <v>2271211</v>
      </c>
      <c r="Z8" s="492">
        <v>2339527</v>
      </c>
      <c r="AA8" s="492">
        <v>2410217</v>
      </c>
      <c r="AB8" s="492">
        <v>2483261</v>
      </c>
      <c r="AC8" s="492">
        <v>2557670</v>
      </c>
      <c r="AD8" s="492">
        <v>2635015</v>
      </c>
      <c r="AE8" s="492">
        <v>2715130.9999999995</v>
      </c>
      <c r="AF8" s="492">
        <v>2797887</v>
      </c>
      <c r="AG8" s="492">
        <v>2883153.9999999995</v>
      </c>
      <c r="AH8" s="493">
        <v>18310665.431213152</v>
      </c>
      <c r="AI8" s="494">
        <v>18866050.112271778</v>
      </c>
      <c r="AJ8" s="494">
        <v>19252465.919637691</v>
      </c>
      <c r="AK8" s="494">
        <v>19688790.055796631</v>
      </c>
      <c r="AL8" s="494">
        <v>20063617.585518207</v>
      </c>
      <c r="AM8" s="494">
        <v>20482232.398389116</v>
      </c>
      <c r="AN8" s="494">
        <v>20817684.590274584</v>
      </c>
      <c r="AO8" s="494">
        <v>21158284.00412013</v>
      </c>
      <c r="AP8" s="495">
        <v>21484038.762641743</v>
      </c>
      <c r="AQ8" s="494">
        <v>0</v>
      </c>
      <c r="AR8" s="494">
        <v>555384.68105862662</v>
      </c>
      <c r="AS8" s="494">
        <v>941800.48842453957</v>
      </c>
      <c r="AT8" s="494">
        <v>1378124.624583479</v>
      </c>
      <c r="AU8" s="494">
        <v>1752952.1543050557</v>
      </c>
      <c r="AV8" s="494">
        <v>2171566.9671759643</v>
      </c>
      <c r="AW8" s="494">
        <v>2507019.1590614319</v>
      </c>
      <c r="AX8" s="494">
        <v>2847618.5729069784</v>
      </c>
      <c r="AY8" s="494">
        <v>3173373.3314285912</v>
      </c>
    </row>
    <row r="9" spans="1:51" x14ac:dyDescent="0.3">
      <c r="A9" s="573" t="s">
        <v>55</v>
      </c>
      <c r="B9" s="488" t="s">
        <v>820</v>
      </c>
      <c r="C9" s="487" t="s">
        <v>640</v>
      </c>
      <c r="D9" s="581" t="s">
        <v>797</v>
      </c>
      <c r="E9" s="581">
        <v>2017.5</v>
      </c>
      <c r="F9" s="581" t="s">
        <v>818</v>
      </c>
      <c r="G9" s="489">
        <v>0.08</v>
      </c>
      <c r="H9" s="490">
        <v>8.7999999999999995E-2</v>
      </c>
      <c r="I9" s="490">
        <v>9.7000000000000003E-2</v>
      </c>
      <c r="J9" s="490">
        <v>0.104</v>
      </c>
      <c r="K9" s="490">
        <v>0.109</v>
      </c>
      <c r="L9" s="490">
        <v>0.11600000000000001</v>
      </c>
      <c r="M9" s="490">
        <v>0.125</v>
      </c>
      <c r="N9" s="490">
        <v>0.13100000000000001</v>
      </c>
      <c r="O9" s="491">
        <v>0.13800000000000001</v>
      </c>
      <c r="P9" s="489">
        <v>7.5520000000000004E-2</v>
      </c>
      <c r="Q9" s="490">
        <v>8.3072000000000007E-2</v>
      </c>
      <c r="R9" s="490">
        <v>9.156800000000001E-2</v>
      </c>
      <c r="S9" s="490">
        <v>9.8175999999999999E-2</v>
      </c>
      <c r="T9" s="490">
        <v>0.102896</v>
      </c>
      <c r="U9" s="490">
        <v>0.10950400000000002</v>
      </c>
      <c r="V9" s="490">
        <v>0.11800000000000001</v>
      </c>
      <c r="W9" s="490">
        <v>0.12366400000000001</v>
      </c>
      <c r="X9" s="491">
        <v>0.13027200000000003</v>
      </c>
      <c r="Y9" s="492">
        <v>200959</v>
      </c>
      <c r="Z9" s="492">
        <v>205445</v>
      </c>
      <c r="AA9" s="492">
        <v>209609</v>
      </c>
      <c r="AB9" s="492">
        <v>213340.99999999997</v>
      </c>
      <c r="AC9" s="492">
        <v>216871.00000000003</v>
      </c>
      <c r="AD9" s="492">
        <v>219891.00000000003</v>
      </c>
      <c r="AE9" s="492">
        <v>222572</v>
      </c>
      <c r="AF9" s="492">
        <v>225184</v>
      </c>
      <c r="AG9" s="492">
        <v>227872.99999999997</v>
      </c>
      <c r="AH9" s="493">
        <v>171523.36511999997</v>
      </c>
      <c r="AI9" s="494">
        <v>194351.42988800001</v>
      </c>
      <c r="AJ9" s="494">
        <v>220700.67318400001</v>
      </c>
      <c r="AK9" s="494">
        <v>243796.63193599999</v>
      </c>
      <c r="AL9" s="494">
        <v>263173.49784000003</v>
      </c>
      <c r="AM9" s="494">
        <v>288545.12057600002</v>
      </c>
      <c r="AN9" s="494">
        <v>320389.82399999991</v>
      </c>
      <c r="AO9" s="494">
        <v>346012.24299200001</v>
      </c>
      <c r="AP9" s="495">
        <v>375625.8939840002</v>
      </c>
      <c r="AQ9" s="494">
        <v>0</v>
      </c>
      <c r="AR9" s="494">
        <v>22828.06476800004</v>
      </c>
      <c r="AS9" s="494">
        <v>49177.308064000041</v>
      </c>
      <c r="AT9" s="494">
        <v>72273.266816000018</v>
      </c>
      <c r="AU9" s="494">
        <v>91650.132720000052</v>
      </c>
      <c r="AV9" s="494">
        <v>117021.75545600004</v>
      </c>
      <c r="AW9" s="494">
        <v>148866.45887999993</v>
      </c>
      <c r="AX9" s="494">
        <v>174488.87787200004</v>
      </c>
      <c r="AY9" s="494">
        <v>204102.52886400023</v>
      </c>
    </row>
    <row r="10" spans="1:51" x14ac:dyDescent="0.3">
      <c r="A10" s="575" t="s">
        <v>56</v>
      </c>
      <c r="B10" s="488" t="s">
        <v>820</v>
      </c>
      <c r="C10" s="487" t="s">
        <v>642</v>
      </c>
      <c r="D10" s="582" t="s">
        <v>794</v>
      </c>
      <c r="E10" s="582">
        <v>2010</v>
      </c>
      <c r="F10" s="582"/>
      <c r="G10" s="489">
        <v>0.58313769503582902</v>
      </c>
      <c r="H10" s="490">
        <v>0.59094891194230603</v>
      </c>
      <c r="I10" s="490">
        <v>0.59825699717678305</v>
      </c>
      <c r="J10" s="490">
        <v>0.60548262518986895</v>
      </c>
      <c r="K10" s="490">
        <v>0.61097636571323399</v>
      </c>
      <c r="L10" s="490">
        <v>0.61749359625322198</v>
      </c>
      <c r="M10" s="490">
        <v>0.62478740377620701</v>
      </c>
      <c r="N10" s="490">
        <v>0.62928909386429799</v>
      </c>
      <c r="O10" s="491">
        <v>0.63215485741779298</v>
      </c>
      <c r="P10" s="489">
        <v>0.42620767313016245</v>
      </c>
      <c r="Q10" s="490">
        <v>0.43191678885079854</v>
      </c>
      <c r="R10" s="490">
        <v>0.43725817224847441</v>
      </c>
      <c r="S10" s="490">
        <v>0.44253928874733534</v>
      </c>
      <c r="T10" s="490">
        <v>0.44655459145401499</v>
      </c>
      <c r="U10" s="490">
        <v>0.45131794955510712</v>
      </c>
      <c r="V10" s="490">
        <v>0.45664889756120325</v>
      </c>
      <c r="W10" s="490">
        <v>0.45993912365005263</v>
      </c>
      <c r="X10" s="491">
        <v>0.46203367254694955</v>
      </c>
      <c r="Y10" s="492">
        <v>2588196.0000000005</v>
      </c>
      <c r="Z10" s="492">
        <v>2641651.0000000005</v>
      </c>
      <c r="AA10" s="492">
        <v>2694982</v>
      </c>
      <c r="AB10" s="492">
        <v>2747529.9999999995</v>
      </c>
      <c r="AC10" s="492">
        <v>2800714.9999999995</v>
      </c>
      <c r="AD10" s="492">
        <v>2852745</v>
      </c>
      <c r="AE10" s="492">
        <v>2903634</v>
      </c>
      <c r="AF10" s="492">
        <v>2953615.9999999995</v>
      </c>
      <c r="AG10" s="492">
        <v>3002671</v>
      </c>
      <c r="AH10" s="493">
        <v>78558.598311351539</v>
      </c>
      <c r="AI10" s="494">
        <v>81297.105664652699</v>
      </c>
      <c r="AJ10" s="494">
        <v>83914.653094376976</v>
      </c>
      <c r="AK10" s="494">
        <v>86407.123745783465</v>
      </c>
      <c r="AL10" s="494">
        <v>88575.88943326968</v>
      </c>
      <c r="AM10" s="494">
        <v>90697.75777849344</v>
      </c>
      <c r="AN10" s="494">
        <v>92814.801727109676</v>
      </c>
      <c r="AO10" s="494">
        <v>94490.813440914077</v>
      </c>
      <c r="AP10" s="495">
        <v>95945.450407427023</v>
      </c>
      <c r="AQ10" s="494">
        <v>0</v>
      </c>
      <c r="AR10" s="501">
        <v>2738.50735330116</v>
      </c>
      <c r="AS10" s="494">
        <v>5356.0547830254363</v>
      </c>
      <c r="AT10" s="494">
        <v>7848.5254344319255</v>
      </c>
      <c r="AU10" s="494">
        <v>10017.291121918141</v>
      </c>
      <c r="AV10" s="494">
        <v>12139.159467141901</v>
      </c>
      <c r="AW10" s="494">
        <v>14256.203415758137</v>
      </c>
      <c r="AX10" s="494">
        <v>15932.215129562537</v>
      </c>
      <c r="AY10" s="494">
        <v>17386.852096075483</v>
      </c>
    </row>
    <row r="11" spans="1:51" ht="17.25" customHeight="1" x14ac:dyDescent="0.3">
      <c r="A11" s="575" t="s">
        <v>165</v>
      </c>
      <c r="B11" s="488" t="s">
        <v>819</v>
      </c>
      <c r="C11" s="487" t="s">
        <v>243</v>
      </c>
      <c r="D11" s="582" t="s">
        <v>915</v>
      </c>
      <c r="E11" s="582">
        <v>2016</v>
      </c>
      <c r="F11" s="582"/>
      <c r="G11" s="489">
        <v>0.39624088032799698</v>
      </c>
      <c r="H11" s="490">
        <v>0.40729044233112804</v>
      </c>
      <c r="I11" s="490">
        <v>0.417807089009885</v>
      </c>
      <c r="J11" s="490">
        <v>0.42872241735945998</v>
      </c>
      <c r="K11" s="490">
        <v>0.43667579904202003</v>
      </c>
      <c r="L11" s="490">
        <v>0.44422043236376302</v>
      </c>
      <c r="M11" s="490">
        <v>0.45164363755041798</v>
      </c>
      <c r="N11" s="490">
        <v>0.45770379896501207</v>
      </c>
      <c r="O11" s="491">
        <v>0.46295269710840797</v>
      </c>
      <c r="P11" s="489">
        <v>0.28466085416024617</v>
      </c>
      <c r="Q11" s="490">
        <v>0.29259889870351546</v>
      </c>
      <c r="R11" s="490">
        <v>0.30015409498714574</v>
      </c>
      <c r="S11" s="490">
        <v>0.30799570559748346</v>
      </c>
      <c r="T11" s="490">
        <v>0.31370944321422278</v>
      </c>
      <c r="U11" s="490">
        <v>0.31912953455844617</v>
      </c>
      <c r="V11" s="490">
        <v>0.32446239149963507</v>
      </c>
      <c r="W11" s="490">
        <v>0.32881603295934347</v>
      </c>
      <c r="X11" s="491">
        <v>0.33258686000692722</v>
      </c>
      <c r="Y11" s="492">
        <v>3802037</v>
      </c>
      <c r="Z11" s="492">
        <v>3922840</v>
      </c>
      <c r="AA11" s="492">
        <v>4048311</v>
      </c>
      <c r="AB11" s="492">
        <v>4177966.0000000005</v>
      </c>
      <c r="AC11" s="492">
        <v>4310175.9999999991</v>
      </c>
      <c r="AD11" s="492">
        <v>4446432</v>
      </c>
      <c r="AE11" s="492">
        <v>4587823</v>
      </c>
      <c r="AF11" s="492">
        <v>4735877</v>
      </c>
      <c r="AG11" s="492">
        <v>4891178.9999999991</v>
      </c>
      <c r="AH11" s="493">
        <v>735863.67969036091</v>
      </c>
      <c r="AI11" s="494">
        <v>771626.89311707742</v>
      </c>
      <c r="AJ11" s="494">
        <v>807306.46004122647</v>
      </c>
      <c r="AK11" s="494">
        <v>844713.33411153627</v>
      </c>
      <c r="AL11" s="494">
        <v>876661.35277158895</v>
      </c>
      <c r="AM11" s="494">
        <v>908559.2318516199</v>
      </c>
      <c r="AN11" s="494">
        <v>940755.01839861227</v>
      </c>
      <c r="AO11" s="494">
        <v>970219.05475528911</v>
      </c>
      <c r="AP11" s="495">
        <v>997741.28998290095</v>
      </c>
      <c r="AQ11" s="494">
        <v>0</v>
      </c>
      <c r="AR11" s="501">
        <v>35763.213426716509</v>
      </c>
      <c r="AS11" s="494">
        <v>71442.780350865563</v>
      </c>
      <c r="AT11" s="494">
        <v>108849.65442117536</v>
      </c>
      <c r="AU11" s="494">
        <v>140797.67308122804</v>
      </c>
      <c r="AV11" s="494">
        <v>172695.55216125899</v>
      </c>
      <c r="AW11" s="494">
        <v>204891.33870825137</v>
      </c>
      <c r="AX11" s="494">
        <v>234355.3750649282</v>
      </c>
      <c r="AY11" s="494">
        <v>261877.61029254005</v>
      </c>
    </row>
    <row r="12" spans="1:51" x14ac:dyDescent="0.3">
      <c r="A12" s="573" t="s">
        <v>31</v>
      </c>
      <c r="B12" s="488" t="s">
        <v>819</v>
      </c>
      <c r="C12" s="487" t="s">
        <v>636</v>
      </c>
      <c r="D12" s="581" t="s">
        <v>825</v>
      </c>
      <c r="E12" s="581">
        <v>2018</v>
      </c>
      <c r="F12" s="581" t="s">
        <v>928</v>
      </c>
      <c r="G12" s="489">
        <v>0.18</v>
      </c>
      <c r="H12" s="490">
        <v>0.19400000000000001</v>
      </c>
      <c r="I12" s="490">
        <v>0.20899999999999999</v>
      </c>
      <c r="J12" s="490">
        <v>0.22600000000000001</v>
      </c>
      <c r="K12" s="490">
        <v>0.25</v>
      </c>
      <c r="L12" s="490">
        <v>0.27400000000000002</v>
      </c>
      <c r="M12" s="490">
        <v>0.29099999999999998</v>
      </c>
      <c r="N12" s="490">
        <v>0.30299999999999999</v>
      </c>
      <c r="O12" s="491">
        <v>0.313</v>
      </c>
      <c r="P12" s="489">
        <v>0.16006514657980456</v>
      </c>
      <c r="Q12" s="490">
        <v>0.17251465798045604</v>
      </c>
      <c r="R12" s="490">
        <v>0.18585342019543974</v>
      </c>
      <c r="S12" s="490">
        <v>0.20097068403908797</v>
      </c>
      <c r="T12" s="490">
        <v>0.2223127035830619</v>
      </c>
      <c r="U12" s="490">
        <v>0.24365472312703587</v>
      </c>
      <c r="V12" s="490">
        <v>0.25877198697068404</v>
      </c>
      <c r="W12" s="490">
        <v>0.26944299674267103</v>
      </c>
      <c r="X12" s="491">
        <v>0.27833550488599351</v>
      </c>
      <c r="Y12" s="492">
        <v>2222689</v>
      </c>
      <c r="Z12" s="492">
        <v>2282922</v>
      </c>
      <c r="AA12" s="492">
        <v>2344332</v>
      </c>
      <c r="AB12" s="492">
        <v>2408015</v>
      </c>
      <c r="AC12" s="492">
        <v>2476654</v>
      </c>
      <c r="AD12" s="492">
        <v>2547866</v>
      </c>
      <c r="AE12" s="492">
        <v>2622895</v>
      </c>
      <c r="AF12" s="492">
        <v>2703843</v>
      </c>
      <c r="AG12" s="492">
        <v>2791765.0000000005</v>
      </c>
      <c r="AH12" s="493">
        <v>608574.89022801293</v>
      </c>
      <c r="AI12" s="494">
        <v>676748.78102931613</v>
      </c>
      <c r="AJ12" s="494">
        <v>752393.37463192199</v>
      </c>
      <c r="AK12" s="494">
        <v>839648.68491205247</v>
      </c>
      <c r="AL12" s="494">
        <v>958201.32166123809</v>
      </c>
      <c r="AM12" s="494">
        <v>1083386.8482214983</v>
      </c>
      <c r="AN12" s="494">
        <v>1187191.7928762215</v>
      </c>
      <c r="AO12" s="494">
        <v>1276042.6938957651</v>
      </c>
      <c r="AP12" s="495">
        <v>1361384.6014201958</v>
      </c>
      <c r="AQ12" s="494">
        <v>0</v>
      </c>
      <c r="AR12" s="501">
        <v>68173.890801303205</v>
      </c>
      <c r="AS12" s="494">
        <v>143818.48440390907</v>
      </c>
      <c r="AT12" s="494">
        <v>231073.79468403955</v>
      </c>
      <c r="AU12" s="494">
        <v>349626.43143322517</v>
      </c>
      <c r="AV12" s="494">
        <v>474811.95799348538</v>
      </c>
      <c r="AW12" s="494">
        <v>578616.90264820855</v>
      </c>
      <c r="AX12" s="494">
        <v>667467.80366775219</v>
      </c>
      <c r="AY12" s="494">
        <v>752809.71119218285</v>
      </c>
    </row>
    <row r="13" spans="1:51" x14ac:dyDescent="0.3">
      <c r="A13" s="575" t="s">
        <v>57</v>
      </c>
      <c r="B13" s="488" t="s">
        <v>820</v>
      </c>
      <c r="C13" s="487" t="s">
        <v>641</v>
      </c>
      <c r="D13" s="582" t="s">
        <v>797</v>
      </c>
      <c r="E13" s="582">
        <v>2016.5</v>
      </c>
      <c r="F13" s="582"/>
      <c r="G13" s="489">
        <v>0.22757284439763603</v>
      </c>
      <c r="H13" s="490">
        <v>0.23458116773141399</v>
      </c>
      <c r="I13" s="490">
        <v>0.236900781963191</v>
      </c>
      <c r="J13" s="490">
        <v>0.23654836740717797</v>
      </c>
      <c r="K13" s="490">
        <v>0.23817803488293504</v>
      </c>
      <c r="L13" s="490">
        <v>0.24638578722229901</v>
      </c>
      <c r="M13" s="490">
        <v>0.25705691875875197</v>
      </c>
      <c r="N13" s="490">
        <v>0.26787658746780701</v>
      </c>
      <c r="O13" s="491">
        <v>0.279236313188651</v>
      </c>
      <c r="P13" s="489">
        <v>0.1450901104019863</v>
      </c>
      <c r="Q13" s="490">
        <v>0.14955829907767007</v>
      </c>
      <c r="R13" s="490">
        <v>0.15103717976692527</v>
      </c>
      <c r="S13" s="490">
        <v>0.15081249625086457</v>
      </c>
      <c r="T13" s="490">
        <v>0.15185149822230795</v>
      </c>
      <c r="U13" s="490">
        <v>0.15708438836006838</v>
      </c>
      <c r="V13" s="490">
        <v>0.16388781719990303</v>
      </c>
      <c r="W13" s="490">
        <v>0.17078594659519575</v>
      </c>
      <c r="X13" s="491">
        <v>0.17802839181459845</v>
      </c>
      <c r="Y13" s="492">
        <v>4072889</v>
      </c>
      <c r="Z13" s="492">
        <v>4137023</v>
      </c>
      <c r="AA13" s="492">
        <v>4197010</v>
      </c>
      <c r="AB13" s="492">
        <v>4252559</v>
      </c>
      <c r="AC13" s="492">
        <v>4308108</v>
      </c>
      <c r="AD13" s="492">
        <v>4359533</v>
      </c>
      <c r="AE13" s="492">
        <v>4408291</v>
      </c>
      <c r="AF13" s="492">
        <v>4456890</v>
      </c>
      <c r="AG13" s="492">
        <v>4507054</v>
      </c>
      <c r="AH13" s="493">
        <v>316893.05121030309</v>
      </c>
      <c r="AI13" s="494">
        <v>336018.91198636265</v>
      </c>
      <c r="AJ13" s="494">
        <v>349124.25347740494</v>
      </c>
      <c r="AK13" s="494">
        <v>358906.89645272511</v>
      </c>
      <c r="AL13" s="494">
        <v>372513.74360656372</v>
      </c>
      <c r="AM13" s="494">
        <v>397570.84770725481</v>
      </c>
      <c r="AN13" s="494">
        <v>428303.60203114065</v>
      </c>
      <c r="AO13" s="494">
        <v>461246.90033398959</v>
      </c>
      <c r="AP13" s="495">
        <v>497242.91187133145</v>
      </c>
      <c r="AQ13" s="494">
        <v>0</v>
      </c>
      <c r="AR13" s="494">
        <v>19125.860776059562</v>
      </c>
      <c r="AS13" s="494">
        <v>32231.202267101849</v>
      </c>
      <c r="AT13" s="494">
        <v>42013.845242422016</v>
      </c>
      <c r="AU13" s="494">
        <v>55620.692396260623</v>
      </c>
      <c r="AV13" s="494">
        <v>80677.79649695172</v>
      </c>
      <c r="AW13" s="494">
        <v>111410.55082083755</v>
      </c>
      <c r="AX13" s="494">
        <v>144353.84912368649</v>
      </c>
      <c r="AY13" s="494">
        <v>180349.86066102836</v>
      </c>
    </row>
    <row r="14" spans="1:51" x14ac:dyDescent="0.3">
      <c r="A14" s="575" t="s">
        <v>58</v>
      </c>
      <c r="B14" s="488" t="s">
        <v>819</v>
      </c>
      <c r="C14" s="487" t="s">
        <v>637</v>
      </c>
      <c r="D14" s="582" t="s">
        <v>797</v>
      </c>
      <c r="E14" s="582">
        <v>2014</v>
      </c>
      <c r="F14" s="582"/>
      <c r="G14" s="489">
        <v>0.37495694310753402</v>
      </c>
      <c r="H14" s="490">
        <v>0.384324470196162</v>
      </c>
      <c r="I14" s="490">
        <v>0.39446388113974995</v>
      </c>
      <c r="J14" s="490">
        <v>0.40541576259866902</v>
      </c>
      <c r="K14" s="490">
        <v>0.41576865477972402</v>
      </c>
      <c r="L14" s="490">
        <v>0.42449646516665801</v>
      </c>
      <c r="M14" s="490">
        <v>0.43372066213616894</v>
      </c>
      <c r="N14" s="490">
        <v>0.44311896718287808</v>
      </c>
      <c r="O14" s="491">
        <v>0.45156890731799204</v>
      </c>
      <c r="P14" s="489">
        <v>0.2570581104809383</v>
      </c>
      <c r="Q14" s="490">
        <v>0.2634801780210802</v>
      </c>
      <c r="R14" s="490">
        <v>0.27043142366797296</v>
      </c>
      <c r="S14" s="490">
        <v>0.27793967229702571</v>
      </c>
      <c r="T14" s="490">
        <v>0.28503727363764592</v>
      </c>
      <c r="U14" s="490">
        <v>0.29102077251116248</v>
      </c>
      <c r="V14" s="490">
        <v>0.29734457765005401</v>
      </c>
      <c r="W14" s="490">
        <v>0.303787745542901</v>
      </c>
      <c r="X14" s="491">
        <v>0.30958074573862349</v>
      </c>
      <c r="Y14" s="492">
        <v>4969142</v>
      </c>
      <c r="Z14" s="492">
        <v>5113940</v>
      </c>
      <c r="AA14" s="492">
        <v>5264645</v>
      </c>
      <c r="AB14" s="492">
        <v>5422035.9999999991</v>
      </c>
      <c r="AC14" s="492">
        <v>5579061.0000000009</v>
      </c>
      <c r="AD14" s="492">
        <v>5743444</v>
      </c>
      <c r="AE14" s="492">
        <v>5915127</v>
      </c>
      <c r="AF14" s="492">
        <v>6093891</v>
      </c>
      <c r="AG14" s="492">
        <v>6279528</v>
      </c>
      <c r="AH14" s="493">
        <v>1047224.9233585268</v>
      </c>
      <c r="AI14" s="494">
        <v>1090285.4558142561</v>
      </c>
      <c r="AJ14" s="494">
        <v>1135278.4182065893</v>
      </c>
      <c r="AK14" s="494">
        <v>1182255.5856091925</v>
      </c>
      <c r="AL14" s="494">
        <v>1228303.9973548669</v>
      </c>
      <c r="AM14" s="494">
        <v>1269094.7345768053</v>
      </c>
      <c r="AN14" s="494">
        <v>1311205.1415766855</v>
      </c>
      <c r="AO14" s="494">
        <v>1354366.2733828209</v>
      </c>
      <c r="AP14" s="495">
        <v>1395629.0089636778</v>
      </c>
      <c r="AQ14" s="494">
        <v>0</v>
      </c>
      <c r="AR14" s="494">
        <v>43060.532455729321</v>
      </c>
      <c r="AS14" s="494">
        <v>88053.494848062517</v>
      </c>
      <c r="AT14" s="494">
        <v>135030.66225066571</v>
      </c>
      <c r="AU14" s="494">
        <v>181079.07399634016</v>
      </c>
      <c r="AV14" s="494">
        <v>221869.81121827848</v>
      </c>
      <c r="AW14" s="494">
        <v>263980.2182181587</v>
      </c>
      <c r="AX14" s="494">
        <v>307141.35002429411</v>
      </c>
      <c r="AY14" s="494">
        <v>348404.08560515102</v>
      </c>
    </row>
    <row r="15" spans="1:51" x14ac:dyDescent="0.3">
      <c r="A15" s="576" t="s">
        <v>59</v>
      </c>
      <c r="B15" s="488" t="s">
        <v>820</v>
      </c>
      <c r="C15" s="487" t="s">
        <v>637</v>
      </c>
      <c r="D15" s="581" t="s">
        <v>794</v>
      </c>
      <c r="E15" s="581">
        <v>2014</v>
      </c>
      <c r="F15" s="581" t="s">
        <v>818</v>
      </c>
      <c r="G15" s="489">
        <v>0.14899999999999999</v>
      </c>
      <c r="H15" s="490">
        <v>0.156</v>
      </c>
      <c r="I15" s="490">
        <v>0.16400000000000001</v>
      </c>
      <c r="J15" s="490">
        <v>0.17199999999999999</v>
      </c>
      <c r="K15" s="490">
        <v>0.18099999999999999</v>
      </c>
      <c r="L15" s="490">
        <v>0.193</v>
      </c>
      <c r="M15" s="490">
        <v>0.20300000000000001</v>
      </c>
      <c r="N15" s="490">
        <v>0.21199999999999999</v>
      </c>
      <c r="O15" s="491">
        <v>0.221</v>
      </c>
      <c r="P15" s="489">
        <v>0.20452795031055901</v>
      </c>
      <c r="Q15" s="490">
        <v>0.21413664596273294</v>
      </c>
      <c r="R15" s="490">
        <v>0.22511801242236026</v>
      </c>
      <c r="S15" s="490">
        <v>0.23609937888198756</v>
      </c>
      <c r="T15" s="490">
        <v>0.24845341614906832</v>
      </c>
      <c r="U15" s="490">
        <v>0.26492546583850934</v>
      </c>
      <c r="V15" s="490">
        <v>0.27865217391304348</v>
      </c>
      <c r="W15" s="490">
        <v>0.29100621118012421</v>
      </c>
      <c r="X15" s="491">
        <v>0.30336024844720499</v>
      </c>
      <c r="Y15" s="492">
        <v>1050252</v>
      </c>
      <c r="Z15" s="492">
        <v>1046600.0000000001</v>
      </c>
      <c r="AA15" s="492">
        <v>1046160.0000000001</v>
      </c>
      <c r="AB15" s="492">
        <v>1050893</v>
      </c>
      <c r="AC15" s="492">
        <v>1068275</v>
      </c>
      <c r="AD15" s="492">
        <v>1091363</v>
      </c>
      <c r="AE15" s="492">
        <v>1119115.9999999998</v>
      </c>
      <c r="AF15" s="492">
        <v>1149729</v>
      </c>
      <c r="AG15" s="492">
        <v>1181923</v>
      </c>
      <c r="AH15" s="493">
        <v>1041860.8792670803</v>
      </c>
      <c r="AI15" s="494">
        <v>1123102.3817888203</v>
      </c>
      <c r="AJ15" s="494">
        <v>1216019.0672298139</v>
      </c>
      <c r="AK15" s="494">
        <v>1314012.7458633541</v>
      </c>
      <c r="AL15" s="494">
        <v>1423848.2661242238</v>
      </c>
      <c r="AM15" s="494">
        <v>1563963.1144347829</v>
      </c>
      <c r="AN15" s="494">
        <v>1695030.5851304345</v>
      </c>
      <c r="AO15" s="494">
        <v>1824315.6098385097</v>
      </c>
      <c r="AP15" s="495">
        <v>1960022.6996273296</v>
      </c>
      <c r="AQ15" s="494">
        <v>0</v>
      </c>
      <c r="AR15" s="494">
        <v>81241.502521739923</v>
      </c>
      <c r="AS15" s="494">
        <v>174158.18796273356</v>
      </c>
      <c r="AT15" s="494">
        <v>272151.86659627373</v>
      </c>
      <c r="AU15" s="494">
        <v>381987.38685714349</v>
      </c>
      <c r="AV15" s="494">
        <v>522102.23516770254</v>
      </c>
      <c r="AW15" s="494">
        <v>653169.70586335415</v>
      </c>
      <c r="AX15" s="494">
        <v>782454.73057142936</v>
      </c>
      <c r="AY15" s="494">
        <v>918161.82036024926</v>
      </c>
    </row>
    <row r="16" spans="1:51" x14ac:dyDescent="0.3">
      <c r="A16" s="575" t="s">
        <v>521</v>
      </c>
      <c r="B16" s="488" t="s">
        <v>819</v>
      </c>
      <c r="C16" s="487" t="s">
        <v>637</v>
      </c>
      <c r="D16" s="582" t="s">
        <v>794</v>
      </c>
      <c r="E16" s="582">
        <v>2010</v>
      </c>
      <c r="F16" s="582"/>
      <c r="G16" s="489">
        <v>0.10890374467908601</v>
      </c>
      <c r="H16" s="490">
        <v>0.11453990249128899</v>
      </c>
      <c r="I16" s="490">
        <v>0.121123988641562</v>
      </c>
      <c r="J16" s="490">
        <v>0.12731089973880699</v>
      </c>
      <c r="K16" s="490">
        <v>0.13333019334639001</v>
      </c>
      <c r="L16" s="490">
        <v>0.13983794854548601</v>
      </c>
      <c r="M16" s="490">
        <v>0.14659748433082601</v>
      </c>
      <c r="N16" s="490">
        <v>0.153980109811273</v>
      </c>
      <c r="O16" s="491">
        <v>0.16090597901937703</v>
      </c>
      <c r="P16" s="489">
        <v>0.104219712649878</v>
      </c>
      <c r="Q16" s="490">
        <v>0.10961345507230881</v>
      </c>
      <c r="R16" s="490">
        <v>0.11591435472149481</v>
      </c>
      <c r="S16" s="490">
        <v>0.12183516211563249</v>
      </c>
      <c r="T16" s="490">
        <v>0.12759556137450226</v>
      </c>
      <c r="U16" s="490">
        <v>0.13382341312417478</v>
      </c>
      <c r="V16" s="490">
        <v>0.14029221618756466</v>
      </c>
      <c r="W16" s="490">
        <v>0.14735730938928274</v>
      </c>
      <c r="X16" s="491">
        <v>0.15398529174972639</v>
      </c>
      <c r="Y16" s="492">
        <v>2753406.9999999995</v>
      </c>
      <c r="Z16" s="492">
        <v>2861864.0000000005</v>
      </c>
      <c r="AA16" s="492">
        <v>2975180.9999999995</v>
      </c>
      <c r="AB16" s="492">
        <v>3092733.0000000005</v>
      </c>
      <c r="AC16" s="492">
        <v>3207494</v>
      </c>
      <c r="AD16" s="492">
        <v>3327007</v>
      </c>
      <c r="AE16" s="492">
        <v>3451094</v>
      </c>
      <c r="AF16" s="492">
        <v>3579604.0000000005</v>
      </c>
      <c r="AG16" s="492">
        <v>3712444</v>
      </c>
      <c r="AH16" s="493">
        <v>106637.60998335519</v>
      </c>
      <c r="AI16" s="494">
        <v>111856.03674963319</v>
      </c>
      <c r="AJ16" s="494">
        <v>118295.351481829</v>
      </c>
      <c r="AK16" s="494">
        <v>124900.16928897543</v>
      </c>
      <c r="AL16" s="494">
        <v>132779.76903314827</v>
      </c>
      <c r="AM16" s="494">
        <v>141959.87664212464</v>
      </c>
      <c r="AN16" s="494">
        <v>152224.63034318178</v>
      </c>
      <c r="AO16" s="494">
        <v>163887.70499926305</v>
      </c>
      <c r="AP16" s="495">
        <v>175731.40262120627</v>
      </c>
      <c r="AQ16" s="494">
        <v>0</v>
      </c>
      <c r="AR16" s="494">
        <v>5218.4267662780039</v>
      </c>
      <c r="AS16" s="494">
        <v>11657.741498473813</v>
      </c>
      <c r="AT16" s="494">
        <v>18262.559305620249</v>
      </c>
      <c r="AU16" s="494">
        <v>26142.159049793088</v>
      </c>
      <c r="AV16" s="494">
        <v>35322.266658769455</v>
      </c>
      <c r="AW16" s="494">
        <v>45587.020359826594</v>
      </c>
      <c r="AX16" s="494">
        <v>57250.095015907864</v>
      </c>
      <c r="AY16" s="494">
        <v>69093.792637851089</v>
      </c>
    </row>
    <row r="17" spans="1:129" x14ac:dyDescent="0.3">
      <c r="A17" s="575" t="s">
        <v>60</v>
      </c>
      <c r="B17" s="488" t="s">
        <v>820</v>
      </c>
      <c r="C17" s="487" t="s">
        <v>636</v>
      </c>
      <c r="D17" s="582" t="s">
        <v>797</v>
      </c>
      <c r="E17" s="582">
        <v>2014.5</v>
      </c>
      <c r="F17" s="582"/>
      <c r="G17" s="489">
        <v>4.2583192405090904E-2</v>
      </c>
      <c r="H17" s="490">
        <v>4.5086149957395003E-2</v>
      </c>
      <c r="I17" s="490">
        <v>4.7622442843930003E-2</v>
      </c>
      <c r="J17" s="490">
        <v>5.0254405291417802E-2</v>
      </c>
      <c r="K17" s="490">
        <v>5.2761047590819905E-2</v>
      </c>
      <c r="L17" s="490">
        <v>5.52358792913007E-2</v>
      </c>
      <c r="M17" s="490">
        <v>5.7973998674724303E-2</v>
      </c>
      <c r="N17" s="490">
        <v>6.0338981588701192E-2</v>
      </c>
      <c r="O17" s="491">
        <v>6.2784695374884597E-2</v>
      </c>
      <c r="P17" s="489">
        <v>4.0879864708887263E-2</v>
      </c>
      <c r="Q17" s="490">
        <v>4.3282703959099202E-2</v>
      </c>
      <c r="R17" s="490">
        <v>4.5717545130172801E-2</v>
      </c>
      <c r="S17" s="490">
        <v>4.8244229079761086E-2</v>
      </c>
      <c r="T17" s="490">
        <v>5.0650605687187107E-2</v>
      </c>
      <c r="U17" s="490">
        <v>5.3026444119648672E-2</v>
      </c>
      <c r="V17" s="490">
        <v>5.5655038727735327E-2</v>
      </c>
      <c r="W17" s="490">
        <v>5.7925422325153145E-2</v>
      </c>
      <c r="X17" s="491">
        <v>6.027330755988921E-2</v>
      </c>
      <c r="Y17" s="492">
        <v>176376.99999999997</v>
      </c>
      <c r="Z17" s="492">
        <v>180891.99999999997</v>
      </c>
      <c r="AA17" s="492">
        <v>185502</v>
      </c>
      <c r="AB17" s="492">
        <v>190212.00000000003</v>
      </c>
      <c r="AC17" s="492">
        <v>194865</v>
      </c>
      <c r="AD17" s="492">
        <v>199682</v>
      </c>
      <c r="AE17" s="492">
        <v>204634</v>
      </c>
      <c r="AF17" s="492">
        <v>209696.00000000003</v>
      </c>
      <c r="AG17" s="492">
        <v>214852</v>
      </c>
      <c r="AH17" s="493">
        <v>113052.32561553945</v>
      </c>
      <c r="AI17" s="494">
        <v>124418.38323103658</v>
      </c>
      <c r="AJ17" s="494">
        <v>136633.69553574582</v>
      </c>
      <c r="AK17" s="494">
        <v>149907.17027346208</v>
      </c>
      <c r="AL17" s="494">
        <v>163303.88406120212</v>
      </c>
      <c r="AM17" s="494">
        <v>177409.61961511441</v>
      </c>
      <c r="AN17" s="494">
        <v>193231.73433091555</v>
      </c>
      <c r="AO17" s="494">
        <v>208702.68999352222</v>
      </c>
      <c r="AP17" s="495">
        <v>225339.11365616816</v>
      </c>
      <c r="AQ17" s="494">
        <v>0</v>
      </c>
      <c r="AR17" s="494">
        <v>11366.057615497135</v>
      </c>
      <c r="AS17" s="494">
        <v>23581.369920206373</v>
      </c>
      <c r="AT17" s="494">
        <v>36854.844657922629</v>
      </c>
      <c r="AU17" s="494">
        <v>50251.558445662668</v>
      </c>
      <c r="AV17" s="494">
        <v>64357.293999574962</v>
      </c>
      <c r="AW17" s="494">
        <v>80179.408715376107</v>
      </c>
      <c r="AX17" s="494">
        <v>95650.364377982769</v>
      </c>
      <c r="AY17" s="494">
        <v>112286.78804062871</v>
      </c>
    </row>
    <row r="18" spans="1:129" x14ac:dyDescent="0.3">
      <c r="A18" s="575" t="s">
        <v>61</v>
      </c>
      <c r="B18" s="488" t="s">
        <v>820</v>
      </c>
      <c r="C18" s="487" t="s">
        <v>637</v>
      </c>
      <c r="D18" s="582" t="s">
        <v>797</v>
      </c>
      <c r="E18" s="582">
        <v>2012</v>
      </c>
      <c r="F18" s="582"/>
      <c r="G18" s="489">
        <v>0.144942691534833</v>
      </c>
      <c r="H18" s="490">
        <v>0.15055783031289899</v>
      </c>
      <c r="I18" s="490">
        <v>0.15754581837432</v>
      </c>
      <c r="J18" s="490">
        <v>0.16506704487601598</v>
      </c>
      <c r="K18" s="490">
        <v>0.17333981828745501</v>
      </c>
      <c r="L18" s="490">
        <v>0.182255254812238</v>
      </c>
      <c r="M18" s="490">
        <v>0.190976966789068</v>
      </c>
      <c r="N18" s="490">
        <v>0.20036197980782</v>
      </c>
      <c r="O18" s="491">
        <v>0.20903940356655004</v>
      </c>
      <c r="P18" s="489">
        <v>0.101051594802454</v>
      </c>
      <c r="Q18" s="490">
        <v>0.10496637465476762</v>
      </c>
      <c r="R18" s="490">
        <v>0.10983828182434986</v>
      </c>
      <c r="S18" s="490">
        <v>0.11508195382201115</v>
      </c>
      <c r="T18" s="490">
        <v>0.12084959162294399</v>
      </c>
      <c r="U18" s="490">
        <v>0.12706528328458849</v>
      </c>
      <c r="V18" s="490">
        <v>0.13314591346561785</v>
      </c>
      <c r="W18" s="490">
        <v>0.1396889859223534</v>
      </c>
      <c r="X18" s="491">
        <v>0.14573873910625673</v>
      </c>
      <c r="Y18" s="492">
        <v>1103556</v>
      </c>
      <c r="Z18" s="492">
        <v>1126549</v>
      </c>
      <c r="AA18" s="492">
        <v>1150677</v>
      </c>
      <c r="AB18" s="492">
        <v>1176713</v>
      </c>
      <c r="AC18" s="492">
        <v>1206018</v>
      </c>
      <c r="AD18" s="492">
        <v>1237598.0000000002</v>
      </c>
      <c r="AE18" s="492">
        <v>1271267.9999999998</v>
      </c>
      <c r="AF18" s="492">
        <v>1306680</v>
      </c>
      <c r="AG18" s="492">
        <v>1343540</v>
      </c>
      <c r="AH18" s="493">
        <v>17823.177136472434</v>
      </c>
      <c r="AI18" s="494">
        <v>18987.78737679953</v>
      </c>
      <c r="AJ18" s="494">
        <v>20375.220954980552</v>
      </c>
      <c r="AK18" s="494">
        <v>21889.968600392382</v>
      </c>
      <c r="AL18" s="494">
        <v>23549.234822013364</v>
      </c>
      <c r="AM18" s="494">
        <v>25372.395766266625</v>
      </c>
      <c r="AN18" s="494">
        <v>27246.180856123246</v>
      </c>
      <c r="AO18" s="494">
        <v>29292.361280959733</v>
      </c>
      <c r="AP18" s="495">
        <v>31312.259574457472</v>
      </c>
      <c r="AQ18" s="494">
        <v>0</v>
      </c>
      <c r="AR18" s="494">
        <v>1164.6102403270961</v>
      </c>
      <c r="AS18" s="494">
        <v>2552.0438185081184</v>
      </c>
      <c r="AT18" s="494">
        <v>4066.791463919948</v>
      </c>
      <c r="AU18" s="494">
        <v>5726.0576855409308</v>
      </c>
      <c r="AV18" s="494">
        <v>7549.2186297941917</v>
      </c>
      <c r="AW18" s="494">
        <v>9423.0037196508129</v>
      </c>
      <c r="AX18" s="494">
        <v>11469.184144487299</v>
      </c>
      <c r="AY18" s="494">
        <v>13489.082437985038</v>
      </c>
    </row>
    <row r="19" spans="1:129" x14ac:dyDescent="0.3">
      <c r="A19" s="575" t="s">
        <v>62</v>
      </c>
      <c r="B19" s="488" t="s">
        <v>819</v>
      </c>
      <c r="C19" s="487" t="s">
        <v>243</v>
      </c>
      <c r="D19" s="582" t="s">
        <v>794</v>
      </c>
      <c r="E19" s="582">
        <v>2014.5</v>
      </c>
      <c r="F19" s="582"/>
      <c r="G19" s="489">
        <v>0.20417968016020399</v>
      </c>
      <c r="H19" s="490">
        <v>0.20580934585264099</v>
      </c>
      <c r="I19" s="490">
        <v>0.20804399476164101</v>
      </c>
      <c r="J19" s="490">
        <v>0.21476919239352299</v>
      </c>
      <c r="K19" s="490">
        <v>0.22370771203033499</v>
      </c>
      <c r="L19" s="490">
        <v>0.23382288635666701</v>
      </c>
      <c r="M19" s="490">
        <v>0.243869533873696</v>
      </c>
      <c r="N19" s="490">
        <v>0.254007970785329</v>
      </c>
      <c r="O19" s="491">
        <v>0.26381434041004598</v>
      </c>
      <c r="P19" s="489">
        <v>0.21852744146875885</v>
      </c>
      <c r="Q19" s="490">
        <v>0.22027162420985358</v>
      </c>
      <c r="R19" s="490">
        <v>0.2226633025016482</v>
      </c>
      <c r="S19" s="490">
        <v>0.22986108158874352</v>
      </c>
      <c r="T19" s="490">
        <v>0.23942771341625041</v>
      </c>
      <c r="U19" s="490">
        <v>0.25025368377632468</v>
      </c>
      <c r="V19" s="490">
        <v>0.26100631192968543</v>
      </c>
      <c r="W19" s="490">
        <v>0.27185717954321698</v>
      </c>
      <c r="X19" s="491">
        <v>0.28235264541183297</v>
      </c>
      <c r="Y19" s="492">
        <v>4911719</v>
      </c>
      <c r="Z19" s="492">
        <v>5068382</v>
      </c>
      <c r="AA19" s="492">
        <v>5231016.0000000009</v>
      </c>
      <c r="AB19" s="492">
        <v>5397191</v>
      </c>
      <c r="AC19" s="492">
        <v>5558357.9999999991</v>
      </c>
      <c r="AD19" s="492">
        <v>5724630.9999999991</v>
      </c>
      <c r="AE19" s="492">
        <v>5895275</v>
      </c>
      <c r="AF19" s="492">
        <v>6069484.0000000009</v>
      </c>
      <c r="AG19" s="492">
        <v>6246753</v>
      </c>
      <c r="AH19" s="493">
        <v>241260.41414987089</v>
      </c>
      <c r="AI19" s="494">
        <v>248021.22315618672</v>
      </c>
      <c r="AJ19" s="494">
        <v>255807.18040562354</v>
      </c>
      <c r="AK19" s="494">
        <v>269731.86535680067</v>
      </c>
      <c r="AL19" s="494">
        <v>287548.37411407538</v>
      </c>
      <c r="AM19" s="494">
        <v>307945.91676569963</v>
      </c>
      <c r="AN19" s="494">
        <v>329376.39332704264</v>
      </c>
      <c r="AO19" s="494">
        <v>352020.52164666401</v>
      </c>
      <c r="AP19" s="495">
        <v>375256.26574226993</v>
      </c>
      <c r="AQ19" s="494">
        <v>0</v>
      </c>
      <c r="AR19" s="494">
        <v>6760.8090063158306</v>
      </c>
      <c r="AS19" s="494">
        <v>14546.766255752649</v>
      </c>
      <c r="AT19" s="494">
        <v>28471.451206929778</v>
      </c>
      <c r="AU19" s="494">
        <v>46287.959964204492</v>
      </c>
      <c r="AV19" s="494">
        <v>66685.502615828736</v>
      </c>
      <c r="AW19" s="494">
        <v>88115.979177171743</v>
      </c>
      <c r="AX19" s="494">
        <v>110760.10749679312</v>
      </c>
      <c r="AY19" s="494">
        <v>133995.85159239903</v>
      </c>
    </row>
    <row r="20" spans="1:129" ht="14.25" customHeight="1" x14ac:dyDescent="0.3">
      <c r="A20" s="573" t="s">
        <v>63</v>
      </c>
      <c r="B20" s="488" t="s">
        <v>820</v>
      </c>
      <c r="C20" s="487" t="s">
        <v>636</v>
      </c>
      <c r="D20" s="581" t="s">
        <v>832</v>
      </c>
      <c r="E20" s="581">
        <v>2018</v>
      </c>
      <c r="F20" s="581" t="s">
        <v>928</v>
      </c>
      <c r="G20" s="489">
        <v>0.126</v>
      </c>
      <c r="H20" s="490">
        <v>0.13400000000000001</v>
      </c>
      <c r="I20" s="490">
        <v>0.14299999999999999</v>
      </c>
      <c r="J20" s="490">
        <v>0.153</v>
      </c>
      <c r="K20" s="490">
        <v>0.16500000000000001</v>
      </c>
      <c r="L20" s="490">
        <v>0.17799999999999999</v>
      </c>
      <c r="M20" s="490">
        <v>0.189</v>
      </c>
      <c r="N20" s="490">
        <v>0.19800000000000001</v>
      </c>
      <c r="O20" s="491">
        <v>0.20699999999999999</v>
      </c>
      <c r="P20" s="489">
        <v>0.13435714285714284</v>
      </c>
      <c r="Q20" s="490">
        <v>0.1428877551020408</v>
      </c>
      <c r="R20" s="490">
        <v>0.15248469387755098</v>
      </c>
      <c r="S20" s="490">
        <v>0.16314795918367345</v>
      </c>
      <c r="T20" s="490">
        <v>0.17594387755102039</v>
      </c>
      <c r="U20" s="490">
        <v>0.18980612244897954</v>
      </c>
      <c r="V20" s="490">
        <v>0.20153571428571423</v>
      </c>
      <c r="W20" s="490">
        <v>0.21113265306122445</v>
      </c>
      <c r="X20" s="491">
        <v>0.22072959183673463</v>
      </c>
      <c r="Y20" s="492">
        <v>237051.00000000003</v>
      </c>
      <c r="Z20" s="492">
        <v>242519</v>
      </c>
      <c r="AA20" s="492">
        <v>247980</v>
      </c>
      <c r="AB20" s="492">
        <v>253427</v>
      </c>
      <c r="AC20" s="492">
        <v>258397</v>
      </c>
      <c r="AD20" s="492">
        <v>263430.00000000006</v>
      </c>
      <c r="AE20" s="492">
        <v>268421</v>
      </c>
      <c r="AF20" s="492">
        <v>273227</v>
      </c>
      <c r="AG20" s="492">
        <v>277783</v>
      </c>
      <c r="AH20" s="493">
        <v>672957.9803571424</v>
      </c>
      <c r="AI20" s="494">
        <v>738168.28788775497</v>
      </c>
      <c r="AJ20" s="494">
        <v>812875.3176275508</v>
      </c>
      <c r="AK20" s="494">
        <v>897788.20977551013</v>
      </c>
      <c r="AL20" s="494">
        <v>998293.42109693855</v>
      </c>
      <c r="AM20" s="494">
        <v>1111017.0411326529</v>
      </c>
      <c r="AN20" s="494">
        <v>1217087.2783928567</v>
      </c>
      <c r="AO20" s="494">
        <v>1314860.9002346937</v>
      </c>
      <c r="AP20" s="495">
        <v>1416545.620117347</v>
      </c>
      <c r="AQ20" s="494">
        <v>0</v>
      </c>
      <c r="AR20" s="494">
        <v>65210.307530612568</v>
      </c>
      <c r="AS20" s="494">
        <v>139917.3372704084</v>
      </c>
      <c r="AT20" s="494">
        <v>224830.22941836773</v>
      </c>
      <c r="AU20" s="494">
        <v>325335.44073979615</v>
      </c>
      <c r="AV20" s="494">
        <v>438059.0607755105</v>
      </c>
      <c r="AW20" s="494">
        <v>544129.29803571431</v>
      </c>
      <c r="AX20" s="494">
        <v>641902.91987755126</v>
      </c>
      <c r="AY20" s="494">
        <v>743587.63976020459</v>
      </c>
    </row>
    <row r="21" spans="1:129" ht="14.25" customHeight="1" x14ac:dyDescent="0.3">
      <c r="A21" s="575" t="s">
        <v>64</v>
      </c>
      <c r="B21" s="488" t="s">
        <v>820</v>
      </c>
      <c r="C21" s="487" t="s">
        <v>639</v>
      </c>
      <c r="D21" s="582" t="s">
        <v>822</v>
      </c>
      <c r="E21" s="582">
        <v>2012</v>
      </c>
      <c r="F21" s="600"/>
      <c r="G21" s="489">
        <v>0.17683181477371501</v>
      </c>
      <c r="H21" s="490">
        <v>0.18585053424454601</v>
      </c>
      <c r="I21" s="490">
        <v>0.19553809933354999</v>
      </c>
      <c r="J21" s="490">
        <v>0.20469353672203799</v>
      </c>
      <c r="K21" s="490">
        <v>0.21404041495127596</v>
      </c>
      <c r="L21" s="490">
        <v>0.224996953198943</v>
      </c>
      <c r="M21" s="490">
        <v>0.23509073295085797</v>
      </c>
      <c r="N21" s="490">
        <v>0.244901346235293</v>
      </c>
      <c r="O21" s="491">
        <v>0.25642056075849001</v>
      </c>
      <c r="P21" s="489">
        <v>0.13651419297236755</v>
      </c>
      <c r="Q21" s="490">
        <v>0.14347664603422278</v>
      </c>
      <c r="R21" s="490">
        <v>0.15095544803421923</v>
      </c>
      <c r="S21" s="490">
        <v>0.15802344735322107</v>
      </c>
      <c r="T21" s="490">
        <v>0.16523923903588994</v>
      </c>
      <c r="U21" s="490">
        <v>0.17369768854377496</v>
      </c>
      <c r="V21" s="490">
        <v>0.1814900883369728</v>
      </c>
      <c r="W21" s="490">
        <v>0.18906388356608625</v>
      </c>
      <c r="X21" s="491">
        <v>0.19795671926039912</v>
      </c>
      <c r="Y21" s="492">
        <v>6662457</v>
      </c>
      <c r="Z21" s="492">
        <v>6693511</v>
      </c>
      <c r="AA21" s="492">
        <v>6712293</v>
      </c>
      <c r="AB21" s="492">
        <v>6711210.0000000009</v>
      </c>
      <c r="AC21" s="492">
        <v>6691309.0000000009</v>
      </c>
      <c r="AD21" s="492">
        <v>6655929</v>
      </c>
      <c r="AE21" s="492">
        <v>6607803</v>
      </c>
      <c r="AF21" s="492">
        <v>6551748</v>
      </c>
      <c r="AG21" s="492">
        <v>6491972</v>
      </c>
      <c r="AH21" s="493">
        <v>30813.437580950904</v>
      </c>
      <c r="AI21" s="494">
        <v>33001.350307623652</v>
      </c>
      <c r="AJ21" s="494">
        <v>35394.674856031423</v>
      </c>
      <c r="AK21" s="494">
        <v>37759.386698157468</v>
      </c>
      <c r="AL21" s="494">
        <v>40037.137139918043</v>
      </c>
      <c r="AM21" s="494">
        <v>42763.676128723222</v>
      </c>
      <c r="AN21" s="494">
        <v>45420.253977475833</v>
      </c>
      <c r="AO21" s="494">
        <v>48016.932637046055</v>
      </c>
      <c r="AP21" s="495">
        <v>50896.256175602684</v>
      </c>
      <c r="AQ21" s="494">
        <v>0</v>
      </c>
      <c r="AR21" s="494">
        <v>2187.9127266727482</v>
      </c>
      <c r="AS21" s="494">
        <v>4581.2372750805189</v>
      </c>
      <c r="AT21" s="494">
        <v>6945.9491172065646</v>
      </c>
      <c r="AU21" s="494">
        <v>9223.6995589671387</v>
      </c>
      <c r="AV21" s="494">
        <v>11950.238547772318</v>
      </c>
      <c r="AW21" s="494">
        <v>14606.81639652493</v>
      </c>
      <c r="AX21" s="494">
        <v>17203.495056095151</v>
      </c>
      <c r="AY21" s="494">
        <v>20082.818594651781</v>
      </c>
    </row>
    <row r="22" spans="1:129" x14ac:dyDescent="0.3">
      <c r="A22" s="574" t="s">
        <v>115</v>
      </c>
      <c r="B22" s="488" t="s">
        <v>819</v>
      </c>
      <c r="C22" s="487" t="s">
        <v>637</v>
      </c>
      <c r="D22" s="582" t="s">
        <v>794</v>
      </c>
      <c r="E22" s="582">
        <v>2017</v>
      </c>
      <c r="F22" s="582"/>
      <c r="G22" s="489">
        <v>0.68710137465062204</v>
      </c>
      <c r="H22" s="490">
        <v>0.703038841274788</v>
      </c>
      <c r="I22" s="490">
        <v>0.71490082130064403</v>
      </c>
      <c r="J22" s="490">
        <v>0.71464787011525499</v>
      </c>
      <c r="K22" s="490">
        <v>0.710799537515306</v>
      </c>
      <c r="L22" s="490">
        <v>0.70649587981068396</v>
      </c>
      <c r="M22" s="490">
        <v>0.70475175851938798</v>
      </c>
      <c r="N22" s="490">
        <v>0.70550602161919107</v>
      </c>
      <c r="O22" s="491">
        <v>0.70619095623259898</v>
      </c>
      <c r="P22" s="489">
        <v>0.49201242950518137</v>
      </c>
      <c r="Q22" s="490">
        <v>0.50342476538924341</v>
      </c>
      <c r="R22" s="490">
        <v>0.51191876907862754</v>
      </c>
      <c r="S22" s="490">
        <v>0.51173763841601938</v>
      </c>
      <c r="T22" s="490">
        <v>0.50898196430168996</v>
      </c>
      <c r="U22" s="490">
        <v>0.50590024570654601</v>
      </c>
      <c r="V22" s="490">
        <v>0.50465133341275448</v>
      </c>
      <c r="W22" s="490">
        <v>0.50519143831417301</v>
      </c>
      <c r="X22" s="491">
        <v>0.50568189919174933</v>
      </c>
      <c r="Y22" s="492">
        <v>15286906</v>
      </c>
      <c r="Z22" s="492">
        <v>15792128.999999996</v>
      </c>
      <c r="AA22" s="492">
        <v>16323767.000000002</v>
      </c>
      <c r="AB22" s="492">
        <v>16883506</v>
      </c>
      <c r="AC22" s="492">
        <v>17446589</v>
      </c>
      <c r="AD22" s="492">
        <v>18044923</v>
      </c>
      <c r="AE22" s="492">
        <v>18676439</v>
      </c>
      <c r="AF22" s="492">
        <v>19338841</v>
      </c>
      <c r="AG22" s="492">
        <v>20031215</v>
      </c>
      <c r="AH22" s="493">
        <v>3278797.3988937228</v>
      </c>
      <c r="AI22" s="494">
        <v>3369871.5130656981</v>
      </c>
      <c r="AJ22" s="494">
        <v>3435977.2774674469</v>
      </c>
      <c r="AK22" s="494">
        <v>3434378.7563139736</v>
      </c>
      <c r="AL22" s="494">
        <v>3404762.5747572239</v>
      </c>
      <c r="AM22" s="494">
        <v>3366067.4869377427</v>
      </c>
      <c r="AN22" s="494">
        <v>3333488.0084439521</v>
      </c>
      <c r="AO22" s="494">
        <v>3308094.0711774295</v>
      </c>
      <c r="AP22" s="495">
        <v>3279425.4969528681</v>
      </c>
      <c r="AQ22" s="494">
        <v>0</v>
      </c>
      <c r="AR22" s="494">
        <v>91074.114171975292</v>
      </c>
      <c r="AS22" s="494">
        <v>157179.87857372407</v>
      </c>
      <c r="AT22" s="494">
        <v>155581.35742025077</v>
      </c>
      <c r="AU22" s="494">
        <v>125965.17586350115</v>
      </c>
      <c r="AV22" s="494">
        <v>87270.088044019882</v>
      </c>
      <c r="AW22" s="494">
        <v>54690.609550229274</v>
      </c>
      <c r="AX22" s="494">
        <v>29296.672283706721</v>
      </c>
      <c r="AY22" s="494">
        <v>628.09805914526805</v>
      </c>
    </row>
    <row r="23" spans="1:129" x14ac:dyDescent="0.3">
      <c r="A23" s="576" t="s">
        <v>178</v>
      </c>
      <c r="B23" s="488" t="s">
        <v>819</v>
      </c>
      <c r="C23" s="487" t="s">
        <v>638</v>
      </c>
      <c r="D23" s="581" t="s">
        <v>797</v>
      </c>
      <c r="E23" s="581">
        <v>2013.5</v>
      </c>
      <c r="F23" s="581" t="s">
        <v>929</v>
      </c>
      <c r="G23" s="489">
        <v>7.3999999999999996E-2</v>
      </c>
      <c r="H23" s="490">
        <v>7.5999999999999998E-2</v>
      </c>
      <c r="I23" s="490">
        <v>0.08</v>
      </c>
      <c r="J23" s="490">
        <v>8.5000000000000006E-2</v>
      </c>
      <c r="K23" s="490">
        <v>9.0999999999999998E-2</v>
      </c>
      <c r="L23" s="490">
        <v>9.6000000000000002E-2</v>
      </c>
      <c r="M23" s="490">
        <v>0.10199999999999999</v>
      </c>
      <c r="N23" s="490">
        <v>0.108</v>
      </c>
      <c r="O23" s="491">
        <v>0.113</v>
      </c>
      <c r="P23" s="489">
        <v>7.6846153846153842E-2</v>
      </c>
      <c r="Q23" s="490">
        <v>7.8923076923076929E-2</v>
      </c>
      <c r="R23" s="490">
        <v>8.307692307692309E-2</v>
      </c>
      <c r="S23" s="490">
        <v>8.826923076923078E-2</v>
      </c>
      <c r="T23" s="490">
        <v>9.4500000000000001E-2</v>
      </c>
      <c r="U23" s="490">
        <v>9.9692307692307705E-2</v>
      </c>
      <c r="V23" s="490">
        <v>0.10592307692307693</v>
      </c>
      <c r="W23" s="490">
        <v>0.11215384615384616</v>
      </c>
      <c r="X23" s="491">
        <v>0.11734615384615386</v>
      </c>
      <c r="Y23" s="492">
        <v>22762854</v>
      </c>
      <c r="Z23" s="492">
        <v>23086108</v>
      </c>
      <c r="AA23" s="492">
        <v>23420936.999999996</v>
      </c>
      <c r="AB23" s="492">
        <v>23787262</v>
      </c>
      <c r="AC23" s="492">
        <v>24079037</v>
      </c>
      <c r="AD23" s="492">
        <v>24455744</v>
      </c>
      <c r="AE23" s="492">
        <v>24875969</v>
      </c>
      <c r="AF23" s="492">
        <v>25276980.999999996</v>
      </c>
      <c r="AG23" s="492">
        <v>25633005</v>
      </c>
      <c r="AH23" s="493">
        <v>1175460.7472307691</v>
      </c>
      <c r="AI23" s="494">
        <v>1247121.783692308</v>
      </c>
      <c r="AJ23" s="494">
        <v>1356960.6830769232</v>
      </c>
      <c r="AK23" s="494">
        <v>1491231.4182692305</v>
      </c>
      <c r="AL23" s="494">
        <v>1649801.223</v>
      </c>
      <c r="AM23" s="494">
        <v>1800193.347692308</v>
      </c>
      <c r="AN23" s="494">
        <v>1979660.1503076919</v>
      </c>
      <c r="AO23" s="494">
        <v>2170403.4738461538</v>
      </c>
      <c r="AP23" s="495">
        <v>2352062.8384615392</v>
      </c>
      <c r="AQ23" s="494">
        <v>0</v>
      </c>
      <c r="AR23" s="494">
        <v>71661.036461538868</v>
      </c>
      <c r="AS23" s="494">
        <v>181499.93584615411</v>
      </c>
      <c r="AT23" s="494">
        <v>315770.67103846138</v>
      </c>
      <c r="AU23" s="494">
        <v>474340.47576923086</v>
      </c>
      <c r="AV23" s="494">
        <v>624732.60046153888</v>
      </c>
      <c r="AW23" s="494">
        <v>804199.40307692275</v>
      </c>
      <c r="AX23" s="494">
        <v>994942.72661538469</v>
      </c>
      <c r="AY23" s="494">
        <v>1176602.0912307701</v>
      </c>
      <c r="DY23" s="502">
        <v>3.3000000000000002E-2</v>
      </c>
    </row>
    <row r="24" spans="1:129" x14ac:dyDescent="0.3">
      <c r="A24" s="575" t="s">
        <v>65</v>
      </c>
      <c r="B24" s="488" t="s">
        <v>820</v>
      </c>
      <c r="C24" s="487" t="s">
        <v>636</v>
      </c>
      <c r="D24" s="582" t="s">
        <v>797</v>
      </c>
      <c r="E24" s="582">
        <v>2014</v>
      </c>
      <c r="F24" s="582"/>
      <c r="G24" s="489">
        <v>0.57140926195711095</v>
      </c>
      <c r="H24" s="490">
        <v>0.56902961306167199</v>
      </c>
      <c r="I24" s="490">
        <v>0.56892624073779896</v>
      </c>
      <c r="J24" s="490">
        <v>0.57041914071038202</v>
      </c>
      <c r="K24" s="490">
        <v>0.57384784718818205</v>
      </c>
      <c r="L24" s="490">
        <v>0.57614046996961699</v>
      </c>
      <c r="M24" s="490">
        <v>0.58023853043599105</v>
      </c>
      <c r="N24" s="490">
        <v>0.583576218226457</v>
      </c>
      <c r="O24" s="491">
        <v>0.58625083088810503</v>
      </c>
      <c r="P24" s="489">
        <v>0.3971294370601921</v>
      </c>
      <c r="Q24" s="490">
        <v>0.39832072914317035</v>
      </c>
      <c r="R24" s="490">
        <v>0.40052407347941049</v>
      </c>
      <c r="S24" s="490">
        <v>0.40385675162295043</v>
      </c>
      <c r="T24" s="490">
        <v>0.40743197150360921</v>
      </c>
      <c r="U24" s="490">
        <v>0.40963587414839764</v>
      </c>
      <c r="V24" s="490">
        <v>0.41254959513998962</v>
      </c>
      <c r="W24" s="490">
        <v>0.41492269115901093</v>
      </c>
      <c r="X24" s="491">
        <v>0.41623808993055456</v>
      </c>
      <c r="Y24" s="492">
        <v>1096305</v>
      </c>
      <c r="Z24" s="492">
        <v>1115042</v>
      </c>
      <c r="AA24" s="492">
        <v>1135891</v>
      </c>
      <c r="AB24" s="492">
        <v>1159625</v>
      </c>
      <c r="AC24" s="492">
        <v>1191907.0000000002</v>
      </c>
      <c r="AD24" s="492">
        <v>1226803</v>
      </c>
      <c r="AE24" s="492">
        <v>1264321.0000000002</v>
      </c>
      <c r="AF24" s="492">
        <v>1304253.0000000002</v>
      </c>
      <c r="AG24" s="492">
        <v>1346167</v>
      </c>
      <c r="AH24" s="493">
        <v>8846714.2683458049</v>
      </c>
      <c r="AI24" s="494">
        <v>9025343.0715174004</v>
      </c>
      <c r="AJ24" s="494">
        <v>9229183.704125084</v>
      </c>
      <c r="AK24" s="494">
        <v>9464790.4657462314</v>
      </c>
      <c r="AL24" s="494">
        <v>9680433.3005282693</v>
      </c>
      <c r="AM24" s="494">
        <v>9888709.9530956093</v>
      </c>
      <c r="AN24" s="494">
        <v>10126798.392606793</v>
      </c>
      <c r="AO24" s="494">
        <v>10347488.124910703</v>
      </c>
      <c r="AP24" s="495">
        <v>10531161.660572054</v>
      </c>
      <c r="AQ24" s="494">
        <v>0</v>
      </c>
      <c r="AR24" s="494">
        <v>178628.80317159556</v>
      </c>
      <c r="AS24" s="494">
        <v>382469.4357792791</v>
      </c>
      <c r="AT24" s="494">
        <v>618076.19740042649</v>
      </c>
      <c r="AU24" s="494">
        <v>833719.03218246438</v>
      </c>
      <c r="AV24" s="494">
        <v>1041995.6847498044</v>
      </c>
      <c r="AW24" s="494">
        <v>1280084.1242609881</v>
      </c>
      <c r="AX24" s="494">
        <v>1500773.856564898</v>
      </c>
      <c r="AY24" s="494">
        <v>1684447.392226249</v>
      </c>
    </row>
    <row r="25" spans="1:129" ht="16.5" customHeight="1" x14ac:dyDescent="0.3">
      <c r="A25" s="575" t="s">
        <v>66</v>
      </c>
      <c r="B25" s="488" t="s">
        <v>819</v>
      </c>
      <c r="C25" s="487" t="s">
        <v>636</v>
      </c>
      <c r="D25" s="582" t="s">
        <v>823</v>
      </c>
      <c r="E25" s="582">
        <v>2010</v>
      </c>
      <c r="F25" s="582"/>
      <c r="G25" s="489">
        <v>8.485697117163768E-2</v>
      </c>
      <c r="H25" s="490">
        <v>8.9494794812412903E-2</v>
      </c>
      <c r="I25" s="490">
        <v>9.4865950894253995E-2</v>
      </c>
      <c r="J25" s="490">
        <v>0.100295130548021</v>
      </c>
      <c r="K25" s="490">
        <v>0.10539250940473402</v>
      </c>
      <c r="L25" s="490">
        <v>0.111771778768574</v>
      </c>
      <c r="M25" s="490">
        <v>0.11794263232055199</v>
      </c>
      <c r="N25" s="490">
        <v>0.12443025525113401</v>
      </c>
      <c r="O25" s="491">
        <v>0.13129959408657099</v>
      </c>
      <c r="P25" s="489">
        <v>5.6172924578408043E-2</v>
      </c>
      <c r="Q25" s="490">
        <v>5.9243033185681783E-2</v>
      </c>
      <c r="R25" s="490">
        <v>6.2798587211689266E-2</v>
      </c>
      <c r="S25" s="490">
        <v>6.6392551207844888E-2</v>
      </c>
      <c r="T25" s="490">
        <v>6.9766872422852094E-2</v>
      </c>
      <c r="U25" s="490">
        <v>7.3989769043985604E-2</v>
      </c>
      <c r="V25" s="490">
        <v>7.8074700268534414E-2</v>
      </c>
      <c r="W25" s="490">
        <v>8.2369323898638006E-2</v>
      </c>
      <c r="X25" s="491">
        <v>8.6916632705194882E-2</v>
      </c>
      <c r="Y25" s="492">
        <v>21636264</v>
      </c>
      <c r="Z25" s="492">
        <v>22452957.000000004</v>
      </c>
      <c r="AA25" s="492">
        <v>23293010.999999996</v>
      </c>
      <c r="AB25" s="492">
        <v>24150141.000000004</v>
      </c>
      <c r="AC25" s="492">
        <v>24991033.999999996</v>
      </c>
      <c r="AD25" s="492">
        <v>25857217.000000004</v>
      </c>
      <c r="AE25" s="492">
        <v>26737084.000000004</v>
      </c>
      <c r="AF25" s="492">
        <v>27615926</v>
      </c>
      <c r="AG25" s="492">
        <v>28486575.999999996</v>
      </c>
      <c r="AH25" s="493">
        <v>43736.913151843437</v>
      </c>
      <c r="AI25" s="494">
        <v>45943.268450662159</v>
      </c>
      <c r="AJ25" s="494">
        <v>48555.490840554878</v>
      </c>
      <c r="AK25" s="494">
        <v>51309.159461690637</v>
      </c>
      <c r="AL25" s="494">
        <v>54744.808986508433</v>
      </c>
      <c r="AM25" s="494">
        <v>58903.847054069294</v>
      </c>
      <c r="AN25" s="494">
        <v>63125.190885216231</v>
      </c>
      <c r="AO25" s="494">
        <v>67834.927219427758</v>
      </c>
      <c r="AP25" s="495">
        <v>73148.777334793893</v>
      </c>
      <c r="AQ25" s="494">
        <v>0</v>
      </c>
      <c r="AR25" s="494">
        <v>2206.3552988187221</v>
      </c>
      <c r="AS25" s="494">
        <v>4818.5776887114407</v>
      </c>
      <c r="AT25" s="494">
        <v>7572.2463098471999</v>
      </c>
      <c r="AU25" s="494">
        <v>11007.895834664996</v>
      </c>
      <c r="AV25" s="494">
        <v>15166.933902225857</v>
      </c>
      <c r="AW25" s="494">
        <v>19388.277733372794</v>
      </c>
      <c r="AX25" s="494">
        <v>24098.014067584321</v>
      </c>
      <c r="AY25" s="494">
        <v>29411.864182950456</v>
      </c>
    </row>
    <row r="26" spans="1:129" x14ac:dyDescent="0.3">
      <c r="A26" s="576" t="s">
        <v>32</v>
      </c>
      <c r="B26" s="488" t="s">
        <v>820</v>
      </c>
      <c r="C26" s="487" t="s">
        <v>243</v>
      </c>
      <c r="D26" s="581" t="s">
        <v>824</v>
      </c>
      <c r="E26" s="581">
        <v>2017</v>
      </c>
      <c r="F26" s="581" t="s">
        <v>818</v>
      </c>
      <c r="G26" s="489">
        <v>0.3</v>
      </c>
      <c r="H26" s="490">
        <v>0.32700000000000001</v>
      </c>
      <c r="I26" s="490">
        <v>0.34799999999999998</v>
      </c>
      <c r="J26" s="490">
        <v>0.35599999999999998</v>
      </c>
      <c r="K26" s="490">
        <v>0.35699999999999998</v>
      </c>
      <c r="L26" s="490">
        <v>0.35799999999999998</v>
      </c>
      <c r="M26" s="490">
        <v>0.36099999999999999</v>
      </c>
      <c r="N26" s="490">
        <v>0.36399999999999999</v>
      </c>
      <c r="O26" s="491">
        <v>0.371</v>
      </c>
      <c r="P26" s="489">
        <v>0.21161473087818697</v>
      </c>
      <c r="Q26" s="490">
        <v>0.23066005665722381</v>
      </c>
      <c r="R26" s="490">
        <v>0.24547308781869687</v>
      </c>
      <c r="S26" s="490">
        <v>0.25111614730878185</v>
      </c>
      <c r="T26" s="490">
        <v>0.25182152974504246</v>
      </c>
      <c r="U26" s="490">
        <v>0.25252691218130313</v>
      </c>
      <c r="V26" s="490">
        <v>0.25464305949008498</v>
      </c>
      <c r="W26" s="490">
        <v>0.25675920679886688</v>
      </c>
      <c r="X26" s="491">
        <v>0.26169688385269124</v>
      </c>
      <c r="Y26" s="492">
        <v>426606</v>
      </c>
      <c r="Z26" s="492">
        <v>440501.00000000006</v>
      </c>
      <c r="AA26" s="492">
        <v>455059</v>
      </c>
      <c r="AB26" s="492">
        <v>470233.99999999994</v>
      </c>
      <c r="AC26" s="492">
        <v>484883.00000000006</v>
      </c>
      <c r="AD26" s="492">
        <v>500325.00000000006</v>
      </c>
      <c r="AE26" s="492">
        <v>516573.99999999994</v>
      </c>
      <c r="AF26" s="492">
        <v>533628</v>
      </c>
      <c r="AG26" s="492">
        <v>551491</v>
      </c>
      <c r="AH26" s="493">
        <v>4544636.4790368248</v>
      </c>
      <c r="AI26" s="494">
        <v>5149735.3390538255</v>
      </c>
      <c r="AJ26" s="494">
        <v>5694688.1884079305</v>
      </c>
      <c r="AK26" s="494">
        <v>6048073.8978696885</v>
      </c>
      <c r="AL26" s="494">
        <v>6282745.9617365422</v>
      </c>
      <c r="AM26" s="494">
        <v>6523308.5290198307</v>
      </c>
      <c r="AN26" s="494">
        <v>6805456.9749688385</v>
      </c>
      <c r="AO26" s="494">
        <v>7091817.1578696873</v>
      </c>
      <c r="AP26" s="495">
        <v>7461829.1969065163</v>
      </c>
      <c r="AQ26" s="494">
        <v>0</v>
      </c>
      <c r="AR26" s="494">
        <v>605098.8600170007</v>
      </c>
      <c r="AS26" s="494">
        <v>1150051.7093711058</v>
      </c>
      <c r="AT26" s="494">
        <v>1503437.4188328637</v>
      </c>
      <c r="AU26" s="494">
        <v>1738109.4826997174</v>
      </c>
      <c r="AV26" s="494">
        <v>1978672.049983006</v>
      </c>
      <c r="AW26" s="494">
        <v>2260820.4959320137</v>
      </c>
      <c r="AX26" s="494">
        <v>2547180.6788328625</v>
      </c>
      <c r="AY26" s="494">
        <v>2917192.7178696916</v>
      </c>
    </row>
    <row r="27" spans="1:129" s="503" customFormat="1" x14ac:dyDescent="0.3">
      <c r="A27" s="575" t="s">
        <v>67</v>
      </c>
      <c r="B27" s="488" t="s">
        <v>819</v>
      </c>
      <c r="C27" s="487" t="s">
        <v>243</v>
      </c>
      <c r="D27" s="582" t="s">
        <v>797</v>
      </c>
      <c r="E27" s="582">
        <v>2013</v>
      </c>
      <c r="F27" s="582"/>
      <c r="G27" s="489">
        <v>8.8315872930374184E-2</v>
      </c>
      <c r="H27" s="490">
        <v>8.49990115096355E-2</v>
      </c>
      <c r="I27" s="490">
        <v>8.5509141450080511E-2</v>
      </c>
      <c r="J27" s="490">
        <v>8.7448758535613388E-2</v>
      </c>
      <c r="K27" s="490">
        <v>9.04108108580923E-2</v>
      </c>
      <c r="L27" s="490">
        <v>9.3322422361462612E-2</v>
      </c>
      <c r="M27" s="490">
        <v>9.6763885793444096E-2</v>
      </c>
      <c r="N27" s="490">
        <v>0.10032651069114699</v>
      </c>
      <c r="O27" s="491">
        <v>0.10388871661519899</v>
      </c>
      <c r="P27" s="489">
        <v>7.0870762228078046E-2</v>
      </c>
      <c r="Q27" s="490">
        <v>6.8209083310201327E-2</v>
      </c>
      <c r="R27" s="490">
        <v>6.8618446842657208E-2</v>
      </c>
      <c r="S27" s="490">
        <v>7.0174929689072477E-2</v>
      </c>
      <c r="T27" s="490">
        <v>7.2551885256493823E-2</v>
      </c>
      <c r="U27" s="490">
        <v>7.4888363623395918E-2</v>
      </c>
      <c r="V27" s="490">
        <v>7.7650031809553904E-2</v>
      </c>
      <c r="W27" s="490">
        <v>8.0508928332401905E-2</v>
      </c>
      <c r="X27" s="491">
        <v>8.3367488641826359E-2</v>
      </c>
      <c r="Y27" s="492">
        <v>6532638.0000000009</v>
      </c>
      <c r="Z27" s="492">
        <v>6690500</v>
      </c>
      <c r="AA27" s="492">
        <v>6847041</v>
      </c>
      <c r="AB27" s="492">
        <v>7003487</v>
      </c>
      <c r="AC27" s="492">
        <v>7152901</v>
      </c>
      <c r="AD27" s="492">
        <v>7306139</v>
      </c>
      <c r="AE27" s="492">
        <v>7462610</v>
      </c>
      <c r="AF27" s="492">
        <v>7621691</v>
      </c>
      <c r="AG27" s="492">
        <v>7783268</v>
      </c>
      <c r="AH27" s="493">
        <v>32363.700537549663</v>
      </c>
      <c r="AI27" s="494">
        <v>32157.581581094284</v>
      </c>
      <c r="AJ27" s="494">
        <v>33389.050049168574</v>
      </c>
      <c r="AK27" s="494">
        <v>35231.183100539456</v>
      </c>
      <c r="AL27" s="494">
        <v>37496.482993916907</v>
      </c>
      <c r="AM27" s="494">
        <v>39847.948507281719</v>
      </c>
      <c r="AN27" s="494">
        <v>42550.74208103116</v>
      </c>
      <c r="AO27" s="494">
        <v>45462.5062310957</v>
      </c>
      <c r="AP27" s="495">
        <v>48546.972823351542</v>
      </c>
      <c r="AQ27" s="494">
        <v>0</v>
      </c>
      <c r="AR27" s="494">
        <v>-206.11895645537879</v>
      </c>
      <c r="AS27" s="494">
        <v>1025.3495116189115</v>
      </c>
      <c r="AT27" s="494">
        <v>2867.4825629897932</v>
      </c>
      <c r="AU27" s="494">
        <v>5132.7824563672439</v>
      </c>
      <c r="AV27" s="494">
        <v>7484.2479697320559</v>
      </c>
      <c r="AW27" s="494">
        <v>10187.041543481497</v>
      </c>
      <c r="AX27" s="494">
        <v>13098.805693546037</v>
      </c>
      <c r="AY27" s="494">
        <v>16183.272285801879</v>
      </c>
    </row>
    <row r="28" spans="1:129" x14ac:dyDescent="0.3">
      <c r="A28" s="577" t="s">
        <v>33</v>
      </c>
      <c r="B28" s="488" t="s">
        <v>819</v>
      </c>
      <c r="C28" s="487" t="s">
        <v>243</v>
      </c>
      <c r="D28" s="581" t="s">
        <v>825</v>
      </c>
      <c r="E28" s="581">
        <v>2017</v>
      </c>
      <c r="F28" s="583" t="s">
        <v>818</v>
      </c>
      <c r="G28" s="489">
        <v>0.215</v>
      </c>
      <c r="H28" s="490">
        <v>0.222</v>
      </c>
      <c r="I28" s="490">
        <v>0.23300000000000001</v>
      </c>
      <c r="J28" s="490">
        <v>0.25800000000000001</v>
      </c>
      <c r="K28" s="490">
        <v>0.26400000000000001</v>
      </c>
      <c r="L28" s="490">
        <v>0.27</v>
      </c>
      <c r="M28" s="490">
        <v>0.27700000000000002</v>
      </c>
      <c r="N28" s="490">
        <v>0.28499999999999998</v>
      </c>
      <c r="O28" s="491">
        <v>0.29099999999999998</v>
      </c>
      <c r="P28" s="489">
        <v>0.16713503649635039</v>
      </c>
      <c r="Q28" s="490">
        <v>0.17257664233576644</v>
      </c>
      <c r="R28" s="490">
        <v>0.1811277372262774</v>
      </c>
      <c r="S28" s="490">
        <v>0.20056204379562048</v>
      </c>
      <c r="T28" s="490">
        <v>0.20522627737226282</v>
      </c>
      <c r="U28" s="490">
        <v>0.20989051094890515</v>
      </c>
      <c r="V28" s="490">
        <v>0.2153321167883212</v>
      </c>
      <c r="W28" s="490">
        <v>0.22155109489051095</v>
      </c>
      <c r="X28" s="491">
        <v>0.22621532846715331</v>
      </c>
      <c r="Y28" s="492">
        <v>2590750.9999999995</v>
      </c>
      <c r="Z28" s="492">
        <v>2657627</v>
      </c>
      <c r="AA28" s="492">
        <v>2729212</v>
      </c>
      <c r="AB28" s="492">
        <v>2805950</v>
      </c>
      <c r="AC28" s="492">
        <v>2886854.0000000005</v>
      </c>
      <c r="AD28" s="492">
        <v>2973594.0000000005</v>
      </c>
      <c r="AE28" s="492">
        <v>3065317.9999999995</v>
      </c>
      <c r="AF28" s="492">
        <v>3161002.9999999995</v>
      </c>
      <c r="AG28" s="492">
        <v>3259803</v>
      </c>
      <c r="AH28" s="493">
        <v>1085517.3260583947</v>
      </c>
      <c r="AI28" s="494">
        <v>1146886.3792116789</v>
      </c>
      <c r="AJ28" s="494">
        <v>1231137.5466131386</v>
      </c>
      <c r="AK28" s="494">
        <v>1393850.0470072995</v>
      </c>
      <c r="AL28" s="494">
        <v>1456837.9281459858</v>
      </c>
      <c r="AM28" s="494">
        <v>1522126.8249635042</v>
      </c>
      <c r="AN28" s="494">
        <v>1595305.6444598546</v>
      </c>
      <c r="AO28" s="494">
        <v>1676489.3203467152</v>
      </c>
      <c r="AP28" s="495">
        <v>1747953.6274379566</v>
      </c>
      <c r="AQ28" s="494">
        <v>0</v>
      </c>
      <c r="AR28" s="494">
        <v>61369.053153284127</v>
      </c>
      <c r="AS28" s="494">
        <v>145620.22055474389</v>
      </c>
      <c r="AT28" s="494">
        <v>308332.72094890475</v>
      </c>
      <c r="AU28" s="494">
        <v>371320.60208759108</v>
      </c>
      <c r="AV28" s="494">
        <v>436609.49890510947</v>
      </c>
      <c r="AW28" s="494">
        <v>509788.31840145984</v>
      </c>
      <c r="AX28" s="494">
        <v>590971.99428832042</v>
      </c>
      <c r="AY28" s="494">
        <v>662436.30137956189</v>
      </c>
    </row>
    <row r="29" spans="1:129" x14ac:dyDescent="0.3">
      <c r="A29" s="573" t="s">
        <v>68</v>
      </c>
      <c r="B29" s="488" t="s">
        <v>820</v>
      </c>
      <c r="C29" s="487" t="s">
        <v>243</v>
      </c>
      <c r="D29" s="581" t="s">
        <v>797</v>
      </c>
      <c r="E29" s="581">
        <v>2018</v>
      </c>
      <c r="F29" s="581" t="s">
        <v>818</v>
      </c>
      <c r="G29" s="489">
        <v>5.1999999999999998E-2</v>
      </c>
      <c r="H29" s="490">
        <v>5.7000000000000002E-2</v>
      </c>
      <c r="I29" s="490">
        <v>6.4000000000000001E-2</v>
      </c>
      <c r="J29" s="490">
        <v>7.2999999999999995E-2</v>
      </c>
      <c r="K29" s="490">
        <v>8.2000000000000003E-2</v>
      </c>
      <c r="L29" s="490">
        <v>9.1999999999999998E-2</v>
      </c>
      <c r="M29" s="490">
        <v>0.10100000000000001</v>
      </c>
      <c r="N29" s="490">
        <v>0.107</v>
      </c>
      <c r="O29" s="491">
        <v>0.112</v>
      </c>
      <c r="P29" s="489">
        <v>5.6000000000000008E-2</v>
      </c>
      <c r="Q29" s="490">
        <v>6.1384615384615399E-2</v>
      </c>
      <c r="R29" s="490">
        <v>6.8923076923076934E-2</v>
      </c>
      <c r="S29" s="490">
        <v>7.8615384615384629E-2</v>
      </c>
      <c r="T29" s="490">
        <v>8.8307692307692323E-2</v>
      </c>
      <c r="U29" s="490">
        <v>9.907692307692309E-2</v>
      </c>
      <c r="V29" s="490">
        <v>0.1087692307692308</v>
      </c>
      <c r="W29" s="490">
        <v>0.11523076923076925</v>
      </c>
      <c r="X29" s="491">
        <v>0.12061538461538464</v>
      </c>
      <c r="Y29" s="492">
        <v>401453</v>
      </c>
      <c r="Z29" s="492">
        <v>412941</v>
      </c>
      <c r="AA29" s="492">
        <v>424709</v>
      </c>
      <c r="AB29" s="492">
        <v>436707</v>
      </c>
      <c r="AC29" s="492">
        <v>448400</v>
      </c>
      <c r="AD29" s="492">
        <v>460459.99999999994</v>
      </c>
      <c r="AE29" s="492">
        <v>472865.00000000006</v>
      </c>
      <c r="AF29" s="492">
        <v>485617.99999999994</v>
      </c>
      <c r="AG29" s="492">
        <v>498721.99999999994</v>
      </c>
      <c r="AH29" s="493">
        <v>141494.63999999996</v>
      </c>
      <c r="AI29" s="494">
        <v>159094.2521538462</v>
      </c>
      <c r="AJ29" s="494">
        <v>183433.80676923072</v>
      </c>
      <c r="AK29" s="494">
        <v>215134.06599999999</v>
      </c>
      <c r="AL29" s="494">
        <v>249372.97538461542</v>
      </c>
      <c r="AM29" s="494">
        <v>289041.8633846154</v>
      </c>
      <c r="AN29" s="494">
        <v>328016.45692307694</v>
      </c>
      <c r="AO29" s="494">
        <v>359230.65553846158</v>
      </c>
      <c r="AP29" s="495">
        <v>388554.62153846159</v>
      </c>
      <c r="AQ29" s="494">
        <v>0</v>
      </c>
      <c r="AR29" s="494">
        <v>17599.612153846247</v>
      </c>
      <c r="AS29" s="494">
        <v>41939.166769230767</v>
      </c>
      <c r="AT29" s="494">
        <v>73639.426000000036</v>
      </c>
      <c r="AU29" s="494">
        <v>107878.33538461546</v>
      </c>
      <c r="AV29" s="494">
        <v>147547.22338461544</v>
      </c>
      <c r="AW29" s="494">
        <v>186521.81692307699</v>
      </c>
      <c r="AX29" s="494">
        <v>217736.01553846162</v>
      </c>
      <c r="AY29" s="494">
        <v>247059.98153846164</v>
      </c>
    </row>
    <row r="30" spans="1:129" x14ac:dyDescent="0.3">
      <c r="A30" s="575" t="s">
        <v>69</v>
      </c>
      <c r="B30" s="488" t="s">
        <v>819</v>
      </c>
      <c r="C30" s="487" t="s">
        <v>642</v>
      </c>
      <c r="D30" s="582" t="s">
        <v>794</v>
      </c>
      <c r="E30" s="582">
        <v>2014</v>
      </c>
      <c r="F30" s="582"/>
      <c r="G30" s="489">
        <v>0.12993316041227301</v>
      </c>
      <c r="H30" s="490">
        <v>0.13715226200405001</v>
      </c>
      <c r="I30" s="490">
        <v>0.14395093566930001</v>
      </c>
      <c r="J30" s="490">
        <v>0.15071863805601299</v>
      </c>
      <c r="K30" s="490">
        <v>0.15693212943080101</v>
      </c>
      <c r="L30" s="490">
        <v>0.16306321597995299</v>
      </c>
      <c r="M30" s="490">
        <v>0.16985805958949801</v>
      </c>
      <c r="N30" s="490">
        <v>0.17604019024099199</v>
      </c>
      <c r="O30" s="491">
        <v>0.18319418280149999</v>
      </c>
      <c r="P30" s="489">
        <v>0.23460153963327071</v>
      </c>
      <c r="Q30" s="490">
        <v>0.24763602861842363</v>
      </c>
      <c r="R30" s="490">
        <v>0.25991141162512499</v>
      </c>
      <c r="S30" s="490">
        <v>0.27213087426780125</v>
      </c>
      <c r="T30" s="490">
        <v>0.28334967813894629</v>
      </c>
      <c r="U30" s="490">
        <v>0.29441969551935959</v>
      </c>
      <c r="V30" s="490">
        <v>0.30668816314770475</v>
      </c>
      <c r="W30" s="490">
        <v>0.31785034349067998</v>
      </c>
      <c r="X30" s="491">
        <v>0.33076727450270832</v>
      </c>
      <c r="Y30" s="492">
        <v>2710831</v>
      </c>
      <c r="Z30" s="492">
        <v>2759154.9999999995</v>
      </c>
      <c r="AA30" s="492">
        <v>2806593.9999999995</v>
      </c>
      <c r="AB30" s="492">
        <v>2852823.9999999995</v>
      </c>
      <c r="AC30" s="492">
        <v>2898412</v>
      </c>
      <c r="AD30" s="492">
        <v>2942136.9999999995</v>
      </c>
      <c r="AE30" s="492">
        <v>2984774.0000000005</v>
      </c>
      <c r="AF30" s="492">
        <v>3027717</v>
      </c>
      <c r="AG30" s="492">
        <v>3071672</v>
      </c>
      <c r="AH30" s="493">
        <v>92571.8907269716</v>
      </c>
      <c r="AI30" s="494">
        <v>100526.60763750598</v>
      </c>
      <c r="AJ30" s="494">
        <v>108544.20372288469</v>
      </c>
      <c r="AK30" s="494">
        <v>116899.80392096791</v>
      </c>
      <c r="AL30" s="494">
        <v>125054.396998877</v>
      </c>
      <c r="AM30" s="494">
        <v>133513.73794381472</v>
      </c>
      <c r="AN30" s="494">
        <v>142910.85695173062</v>
      </c>
      <c r="AO30" s="494">
        <v>152204.54408257306</v>
      </c>
      <c r="AP30" s="495">
        <v>162776.86036099831</v>
      </c>
      <c r="AQ30" s="494">
        <v>0</v>
      </c>
      <c r="AR30" s="494">
        <v>7954.7169105343783</v>
      </c>
      <c r="AS30" s="494">
        <v>15972.312995913089</v>
      </c>
      <c r="AT30" s="494">
        <v>24327.913193996312</v>
      </c>
      <c r="AU30" s="494">
        <v>32482.506271905397</v>
      </c>
      <c r="AV30" s="494">
        <v>40941.847216843118</v>
      </c>
      <c r="AW30" s="494">
        <v>50338.966224759017</v>
      </c>
      <c r="AX30" s="494">
        <v>59632.653355601462</v>
      </c>
      <c r="AY30" s="494">
        <v>70204.969634026711</v>
      </c>
    </row>
    <row r="31" spans="1:129" x14ac:dyDescent="0.3">
      <c r="A31" s="575" t="s">
        <v>70</v>
      </c>
      <c r="B31" s="488" t="s">
        <v>820</v>
      </c>
      <c r="C31" s="487" t="s">
        <v>642</v>
      </c>
      <c r="D31" s="582" t="s">
        <v>797</v>
      </c>
      <c r="E31" s="582">
        <v>2016.5</v>
      </c>
      <c r="F31" s="582"/>
      <c r="G31" s="489">
        <v>0.30918807284278499</v>
      </c>
      <c r="H31" s="490">
        <v>0.31314504478812499</v>
      </c>
      <c r="I31" s="490">
        <v>0.31459394141786001</v>
      </c>
      <c r="J31" s="490">
        <v>0.315646919301735</v>
      </c>
      <c r="K31" s="490">
        <v>0.31749558916693998</v>
      </c>
      <c r="L31" s="490">
        <v>0.32114946328060595</v>
      </c>
      <c r="M31" s="490">
        <v>0.325998594828392</v>
      </c>
      <c r="N31" s="490">
        <v>0.333088041236067</v>
      </c>
      <c r="O31" s="491">
        <v>0.34113696880211608</v>
      </c>
      <c r="P31" s="489">
        <v>0.21682056680484607</v>
      </c>
      <c r="Q31" s="490">
        <v>0.21959542448978575</v>
      </c>
      <c r="R31" s="490">
        <v>0.22061147464208422</v>
      </c>
      <c r="S31" s="490">
        <v>0.22134988366127956</v>
      </c>
      <c r="T31" s="490">
        <v>0.22264627793782268</v>
      </c>
      <c r="U31" s="490">
        <v>0.22520858588545636</v>
      </c>
      <c r="V31" s="490">
        <v>0.22860907750544468</v>
      </c>
      <c r="W31" s="490">
        <v>0.23358060753346835</v>
      </c>
      <c r="X31" s="491">
        <v>0.23922498126689271</v>
      </c>
      <c r="Y31" s="492">
        <v>2255316.0000000005</v>
      </c>
      <c r="Z31" s="492">
        <v>2313686</v>
      </c>
      <c r="AA31" s="492">
        <v>2371509</v>
      </c>
      <c r="AB31" s="492">
        <v>2428538</v>
      </c>
      <c r="AC31" s="492">
        <v>2485131</v>
      </c>
      <c r="AD31" s="492">
        <v>2539892</v>
      </c>
      <c r="AE31" s="492">
        <v>2592975</v>
      </c>
      <c r="AF31" s="492">
        <v>2644657</v>
      </c>
      <c r="AG31" s="492">
        <v>2694885</v>
      </c>
      <c r="AH31" s="493">
        <v>582112.48585837928</v>
      </c>
      <c r="AI31" s="494">
        <v>600000.57833344163</v>
      </c>
      <c r="AJ31" s="494">
        <v>613292.83993780566</v>
      </c>
      <c r="AK31" s="494">
        <v>625989.42388781649</v>
      </c>
      <c r="AL31" s="494">
        <v>639972.45748797606</v>
      </c>
      <c r="AM31" s="494">
        <v>657845.31459212664</v>
      </c>
      <c r="AN31" s="494">
        <v>678482.25146516168</v>
      </c>
      <c r="AO31" s="494">
        <v>704184.3335942335</v>
      </c>
      <c r="AP31" s="495">
        <v>732409.04962188739</v>
      </c>
      <c r="AQ31" s="494">
        <v>0</v>
      </c>
      <c r="AR31" s="494">
        <v>17888.092475062353</v>
      </c>
      <c r="AS31" s="494">
        <v>31180.354079426383</v>
      </c>
      <c r="AT31" s="494">
        <v>43876.938029437209</v>
      </c>
      <c r="AU31" s="494">
        <v>57859.971629596781</v>
      </c>
      <c r="AV31" s="494">
        <v>75732.828733747359</v>
      </c>
      <c r="AW31" s="494">
        <v>96369.765606782399</v>
      </c>
      <c r="AX31" s="494">
        <v>122071.84773585421</v>
      </c>
      <c r="AY31" s="494">
        <v>150296.56376350811</v>
      </c>
    </row>
    <row r="32" spans="1:129" x14ac:dyDescent="0.3">
      <c r="A32" s="575" t="s">
        <v>71</v>
      </c>
      <c r="B32" s="488" t="s">
        <v>819</v>
      </c>
      <c r="C32" s="487" t="s">
        <v>640</v>
      </c>
      <c r="D32" s="582" t="s">
        <v>797</v>
      </c>
      <c r="E32" s="582">
        <v>2011.5</v>
      </c>
      <c r="F32" s="582"/>
      <c r="G32" s="489">
        <v>0.63974583205395896</v>
      </c>
      <c r="H32" s="490">
        <v>0.64484081786069514</v>
      </c>
      <c r="I32" s="490">
        <v>0.64810956927094399</v>
      </c>
      <c r="J32" s="490">
        <v>0.65122734779832603</v>
      </c>
      <c r="K32" s="490">
        <v>0.65360638775741497</v>
      </c>
      <c r="L32" s="490">
        <v>0.65474120430078597</v>
      </c>
      <c r="M32" s="490">
        <v>0.65739661257440996</v>
      </c>
      <c r="N32" s="490">
        <v>0.65900968942394</v>
      </c>
      <c r="O32" s="491">
        <v>0.66044690945803597</v>
      </c>
      <c r="P32" s="489">
        <v>0.43017392155352413</v>
      </c>
      <c r="Q32" s="490">
        <v>0.43359986028563985</v>
      </c>
      <c r="R32" s="490">
        <v>0.43579781382011751</v>
      </c>
      <c r="S32" s="490">
        <v>0.43789425110577096</v>
      </c>
      <c r="T32" s="490">
        <v>0.43949395038860661</v>
      </c>
      <c r="U32" s="490">
        <v>0.44025701668501127</v>
      </c>
      <c r="V32" s="490">
        <v>0.44204254983451707</v>
      </c>
      <c r="W32" s="490">
        <v>0.44312720495747693</v>
      </c>
      <c r="X32" s="491">
        <v>0.44409361153212762</v>
      </c>
      <c r="Y32" s="492">
        <v>324997974.86486489</v>
      </c>
      <c r="Z32" s="492">
        <v>329128846.62162161</v>
      </c>
      <c r="AA32" s="492">
        <v>333215654.1891892</v>
      </c>
      <c r="AB32" s="492">
        <v>337254493.1081081</v>
      </c>
      <c r="AC32" s="492">
        <v>341242017.02702701</v>
      </c>
      <c r="AD32" s="492">
        <v>345149779.1891892</v>
      </c>
      <c r="AE32" s="492">
        <v>349002879.5945946</v>
      </c>
      <c r="AF32" s="492">
        <v>352791836.08108109</v>
      </c>
      <c r="AG32" s="492">
        <v>356504935.27027029</v>
      </c>
      <c r="AH32" s="493">
        <v>971592.539916476</v>
      </c>
      <c r="AI32" s="494">
        <v>1006858.3331705417</v>
      </c>
      <c r="AJ32" s="494">
        <v>1039217.8481633087</v>
      </c>
      <c r="AK32" s="494">
        <v>1070655.8228961208</v>
      </c>
      <c r="AL32" s="494">
        <v>1100772.8094194687</v>
      </c>
      <c r="AM32" s="494">
        <v>1127565.1387968501</v>
      </c>
      <c r="AN32" s="494">
        <v>1155988.1243275446</v>
      </c>
      <c r="AO32" s="494">
        <v>1182097.6532518941</v>
      </c>
      <c r="AP32" s="495">
        <v>1207553.5910486926</v>
      </c>
      <c r="AQ32" s="494">
        <v>0</v>
      </c>
      <c r="AR32" s="501">
        <v>35265.793254065677</v>
      </c>
      <c r="AS32" s="494">
        <v>67625.30824683269</v>
      </c>
      <c r="AT32" s="494">
        <v>99063.282979644835</v>
      </c>
      <c r="AU32" s="494">
        <v>129180.26950299274</v>
      </c>
      <c r="AV32" s="494">
        <v>155972.59888037411</v>
      </c>
      <c r="AW32" s="494">
        <v>184395.58441106859</v>
      </c>
      <c r="AX32" s="494">
        <v>210505.11333541805</v>
      </c>
      <c r="AY32" s="494">
        <v>235961.05113221658</v>
      </c>
    </row>
    <row r="33" spans="1:51" s="504" customFormat="1" x14ac:dyDescent="0.3">
      <c r="A33" s="576" t="s">
        <v>34</v>
      </c>
      <c r="B33" s="488" t="s">
        <v>819</v>
      </c>
      <c r="C33" s="487" t="s">
        <v>641</v>
      </c>
      <c r="D33" s="581" t="s">
        <v>826</v>
      </c>
      <c r="E33" s="581">
        <v>2015.5</v>
      </c>
      <c r="F33" s="581" t="s">
        <v>929</v>
      </c>
      <c r="G33" s="489">
        <v>0.521462100760128</v>
      </c>
      <c r="H33" s="490">
        <v>0.52207295938392317</v>
      </c>
      <c r="I33" s="490">
        <v>0.52182321079552518</v>
      </c>
      <c r="J33" s="490">
        <v>0.52067351466574752</v>
      </c>
      <c r="K33" s="490">
        <v>0.52638337951748471</v>
      </c>
      <c r="L33" s="490">
        <v>0.53195832534896215</v>
      </c>
      <c r="M33" s="490">
        <v>0.53798318770465681</v>
      </c>
      <c r="N33" s="490">
        <v>0.54394544210117013</v>
      </c>
      <c r="O33" s="491">
        <v>0.54972128099526341</v>
      </c>
      <c r="P33" s="489">
        <v>0.38504850033776444</v>
      </c>
      <c r="Q33" s="490">
        <v>0.38549955938245406</v>
      </c>
      <c r="R33" s="490">
        <v>0.38531514460085453</v>
      </c>
      <c r="S33" s="490">
        <v>0.3844662070271177</v>
      </c>
      <c r="T33" s="490">
        <v>0.38868238092563856</v>
      </c>
      <c r="U33" s="490">
        <v>0.39279893039058633</v>
      </c>
      <c r="V33" s="490">
        <v>0.39724769898071027</v>
      </c>
      <c r="W33" s="490">
        <v>0.40165023774750308</v>
      </c>
      <c r="X33" s="491">
        <v>0.40591512699088489</v>
      </c>
      <c r="Y33" s="492">
        <v>67874187</v>
      </c>
      <c r="Z33" s="492">
        <v>68437818.999999985</v>
      </c>
      <c r="AA33" s="492">
        <v>68997174.999999985</v>
      </c>
      <c r="AB33" s="492">
        <v>69561707</v>
      </c>
      <c r="AC33" s="492">
        <v>70053102</v>
      </c>
      <c r="AD33" s="492">
        <v>70582840</v>
      </c>
      <c r="AE33" s="492">
        <v>71118513</v>
      </c>
      <c r="AF33" s="492">
        <v>71610680.999999985</v>
      </c>
      <c r="AG33" s="492">
        <v>72038963</v>
      </c>
      <c r="AH33" s="493">
        <v>121341272.65968353</v>
      </c>
      <c r="AI33" s="494">
        <v>122840573.36291741</v>
      </c>
      <c r="AJ33" s="494">
        <v>124156608.47483842</v>
      </c>
      <c r="AK33" s="494">
        <v>125273345.87192531</v>
      </c>
      <c r="AL33" s="494">
        <v>128071652.19698547</v>
      </c>
      <c r="AM33" s="494">
        <v>130887142.92273651</v>
      </c>
      <c r="AN33" s="494">
        <v>133865133.8162699</v>
      </c>
      <c r="AO33" s="494">
        <v>136881367.17663708</v>
      </c>
      <c r="AP33" s="495">
        <v>139904792.85468572</v>
      </c>
      <c r="AQ33" s="494">
        <v>0</v>
      </c>
      <c r="AR33" s="501">
        <v>1499300.7032338828</v>
      </c>
      <c r="AS33" s="494">
        <v>2815335.8151548952</v>
      </c>
      <c r="AT33" s="494">
        <v>3932073.2122417837</v>
      </c>
      <c r="AU33" s="494">
        <v>6730379.5373019427</v>
      </c>
      <c r="AV33" s="494">
        <v>9545870.2630529851</v>
      </c>
      <c r="AW33" s="494">
        <v>12523861.156586379</v>
      </c>
      <c r="AX33" s="494">
        <v>15540094.516953558</v>
      </c>
      <c r="AY33" s="494">
        <v>18563520.195002198</v>
      </c>
    </row>
    <row r="34" spans="1:51" x14ac:dyDescent="0.3">
      <c r="A34" s="575" t="s">
        <v>35</v>
      </c>
      <c r="B34" s="488" t="s">
        <v>820</v>
      </c>
      <c r="C34" s="487" t="s">
        <v>638</v>
      </c>
      <c r="D34" s="582" t="s">
        <v>800</v>
      </c>
      <c r="E34" s="582">
        <v>2017</v>
      </c>
      <c r="F34" s="582"/>
      <c r="G34" s="489">
        <v>0.59</v>
      </c>
      <c r="H34" s="490">
        <v>0.59399999999999997</v>
      </c>
      <c r="I34" s="490">
        <v>0.59599999999999997</v>
      </c>
      <c r="J34" s="490">
        <v>0.59599999999999997</v>
      </c>
      <c r="K34" s="490">
        <v>0.59199999999999997</v>
      </c>
      <c r="L34" s="490">
        <v>0.59299999999999997</v>
      </c>
      <c r="M34" s="490">
        <v>0.59699999999999998</v>
      </c>
      <c r="N34" s="490">
        <v>0.60099999999999998</v>
      </c>
      <c r="O34" s="491">
        <v>0.60399999999999998</v>
      </c>
      <c r="P34" s="489">
        <v>0.42702797202797199</v>
      </c>
      <c r="Q34" s="490">
        <v>0.42992307692307691</v>
      </c>
      <c r="R34" s="490">
        <v>0.43137062937062931</v>
      </c>
      <c r="S34" s="490">
        <v>0.43137062937062931</v>
      </c>
      <c r="T34" s="490">
        <v>0.42847552447552445</v>
      </c>
      <c r="U34" s="490">
        <v>0.42919930069930068</v>
      </c>
      <c r="V34" s="490">
        <v>0.43209440559440554</v>
      </c>
      <c r="W34" s="490">
        <v>0.43498951048951046</v>
      </c>
      <c r="X34" s="491">
        <v>0.43716083916083914</v>
      </c>
      <c r="Y34" s="492">
        <v>7950705</v>
      </c>
      <c r="Z34" s="492">
        <v>8245286</v>
      </c>
      <c r="AA34" s="492">
        <v>8537318</v>
      </c>
      <c r="AB34" s="492">
        <v>8817725</v>
      </c>
      <c r="AC34" s="492">
        <v>9074262.9999999981</v>
      </c>
      <c r="AD34" s="492">
        <v>9321938</v>
      </c>
      <c r="AE34" s="492">
        <v>9564561</v>
      </c>
      <c r="AF34" s="492">
        <v>9809074.9999999981</v>
      </c>
      <c r="AG34" s="492">
        <v>10060657.000000002</v>
      </c>
      <c r="AH34" s="493">
        <v>28924106.402832165</v>
      </c>
      <c r="AI34" s="494">
        <v>29393372.583000001</v>
      </c>
      <c r="AJ34" s="494">
        <v>29763929.390223764</v>
      </c>
      <c r="AK34" s="494">
        <v>30032065.059734263</v>
      </c>
      <c r="AL34" s="494">
        <v>30039951.1257063</v>
      </c>
      <c r="AM34" s="494">
        <v>30321802.229444053</v>
      </c>
      <c r="AN34" s="494">
        <v>30758540.016335659</v>
      </c>
      <c r="AO34" s="494">
        <v>31167660.045618881</v>
      </c>
      <c r="AP34" s="495">
        <v>31484813.693664335</v>
      </c>
      <c r="AQ34" s="494">
        <v>0</v>
      </c>
      <c r="AR34" s="494">
        <v>469266.18016783521</v>
      </c>
      <c r="AS34" s="494">
        <v>839822.98739159852</v>
      </c>
      <c r="AT34" s="494">
        <v>1107958.6569020972</v>
      </c>
      <c r="AU34" s="494">
        <v>1115844.7228741348</v>
      </c>
      <c r="AV34" s="494">
        <v>1397695.8266118877</v>
      </c>
      <c r="AW34" s="494">
        <v>1834433.6135034934</v>
      </c>
      <c r="AX34" s="494">
        <v>2243553.6427867152</v>
      </c>
      <c r="AY34" s="494">
        <v>2560707.2908321694</v>
      </c>
    </row>
    <row r="35" spans="1:51" s="504" customFormat="1" x14ac:dyDescent="0.3">
      <c r="A35" s="575" t="s">
        <v>72</v>
      </c>
      <c r="B35" s="488" t="s">
        <v>819</v>
      </c>
      <c r="C35" s="487" t="s">
        <v>636</v>
      </c>
      <c r="D35" s="582" t="s">
        <v>794</v>
      </c>
      <c r="E35" s="582">
        <v>2018</v>
      </c>
      <c r="F35" s="582"/>
      <c r="G35" s="489">
        <v>0.36629131161282902</v>
      </c>
      <c r="H35" s="490">
        <v>0.37059821387186198</v>
      </c>
      <c r="I35" s="490">
        <v>0.37471732643797007</v>
      </c>
      <c r="J35" s="490">
        <v>0.37855329969560098</v>
      </c>
      <c r="K35" s="490">
        <v>0.38096008039745499</v>
      </c>
      <c r="L35" s="490">
        <v>0.38310064893212598</v>
      </c>
      <c r="M35" s="490">
        <v>0.38563026700086506</v>
      </c>
      <c r="N35" s="490">
        <v>0.39151538636840699</v>
      </c>
      <c r="O35" s="491">
        <v>0.39669131457236095</v>
      </c>
      <c r="P35" s="489">
        <v>0.22608091918205306</v>
      </c>
      <c r="Q35" s="490">
        <v>0.23031823072690552</v>
      </c>
      <c r="R35" s="490">
        <v>0.23465409915623966</v>
      </c>
      <c r="S35" s="490">
        <v>0.2390228194050408</v>
      </c>
      <c r="T35" s="490">
        <v>0.24224889089713045</v>
      </c>
      <c r="U35" s="490">
        <v>0.24533282177230439</v>
      </c>
      <c r="V35" s="490">
        <v>0.24869651764395317</v>
      </c>
      <c r="W35" s="490">
        <v>0.25324596981762859</v>
      </c>
      <c r="X35" s="491">
        <v>0.2572189643436224</v>
      </c>
      <c r="Y35" s="492">
        <v>10772321</v>
      </c>
      <c r="Z35" s="492">
        <v>11132106</v>
      </c>
      <c r="AA35" s="492">
        <v>11500737</v>
      </c>
      <c r="AB35" s="492">
        <v>11871474.000000002</v>
      </c>
      <c r="AC35" s="492">
        <v>12256378</v>
      </c>
      <c r="AD35" s="492">
        <v>12637603</v>
      </c>
      <c r="AE35" s="492">
        <v>13019722</v>
      </c>
      <c r="AF35" s="492">
        <v>13410524.000000002</v>
      </c>
      <c r="AG35" s="492">
        <v>13812590</v>
      </c>
      <c r="AH35" s="493">
        <v>1764356.5188222264</v>
      </c>
      <c r="AI35" s="494">
        <v>1884997.6414663661</v>
      </c>
      <c r="AJ35" s="494">
        <v>2008630.1719216441</v>
      </c>
      <c r="AK35" s="494">
        <v>2130383.6188013554</v>
      </c>
      <c r="AL35" s="494">
        <v>2223240.6497017602</v>
      </c>
      <c r="AM35" s="494">
        <v>2313102.1101185386</v>
      </c>
      <c r="AN35" s="494">
        <v>2404487.7120246086</v>
      </c>
      <c r="AO35" s="494">
        <v>2507546.8791414453</v>
      </c>
      <c r="AP35" s="495">
        <v>2606751.1267992193</v>
      </c>
      <c r="AQ35" s="494">
        <v>0</v>
      </c>
      <c r="AR35" s="494">
        <v>120641.12264413969</v>
      </c>
      <c r="AS35" s="494">
        <v>244273.65309941769</v>
      </c>
      <c r="AT35" s="494">
        <v>366027.09997912892</v>
      </c>
      <c r="AU35" s="494">
        <v>458884.13087953371</v>
      </c>
      <c r="AV35" s="494">
        <v>548745.59129631217</v>
      </c>
      <c r="AW35" s="494">
        <v>640131.19320238219</v>
      </c>
      <c r="AX35" s="494">
        <v>743190.36031921883</v>
      </c>
      <c r="AY35" s="494">
        <v>842394.60797699285</v>
      </c>
    </row>
    <row r="36" spans="1:51" x14ac:dyDescent="0.3">
      <c r="A36" s="577" t="s">
        <v>36</v>
      </c>
      <c r="B36" s="488" t="s">
        <v>820</v>
      </c>
      <c r="C36" s="487" t="s">
        <v>639</v>
      </c>
      <c r="D36" s="581" t="s">
        <v>930</v>
      </c>
      <c r="E36" s="581">
        <v>2018</v>
      </c>
      <c r="F36" s="583" t="s">
        <v>928</v>
      </c>
      <c r="G36" s="489">
        <v>0.51800000000000002</v>
      </c>
      <c r="H36" s="490">
        <v>0.54800000000000004</v>
      </c>
      <c r="I36" s="490">
        <v>0.57499999999999996</v>
      </c>
      <c r="J36" s="490">
        <v>0.59799999999999998</v>
      </c>
      <c r="K36" s="490">
        <v>0.60499999999999998</v>
      </c>
      <c r="L36" s="490">
        <v>0.60899999999999999</v>
      </c>
      <c r="M36" s="490">
        <v>0.61</v>
      </c>
      <c r="N36" s="490">
        <v>0.61399999999999999</v>
      </c>
      <c r="O36" s="491">
        <v>0.61899999999999999</v>
      </c>
      <c r="P36" s="489">
        <v>0.3807105263157895</v>
      </c>
      <c r="Q36" s="490">
        <v>0.40275939849624065</v>
      </c>
      <c r="R36" s="490">
        <v>0.42260338345864656</v>
      </c>
      <c r="S36" s="490">
        <v>0.43950751879699246</v>
      </c>
      <c r="T36" s="490">
        <v>0.44465225563909772</v>
      </c>
      <c r="U36" s="490">
        <v>0.4475921052631579</v>
      </c>
      <c r="V36" s="490">
        <v>0.44832706766917291</v>
      </c>
      <c r="W36" s="490">
        <v>0.45126691729323309</v>
      </c>
      <c r="X36" s="491">
        <v>0.45494172932330829</v>
      </c>
      <c r="Y36" s="492">
        <v>1527931.9999999998</v>
      </c>
      <c r="Z36" s="492">
        <v>1531229.9999999998</v>
      </c>
      <c r="AA36" s="492">
        <v>1533357</v>
      </c>
      <c r="AB36" s="492">
        <v>1535705</v>
      </c>
      <c r="AC36" s="492">
        <v>1537641</v>
      </c>
      <c r="AD36" s="492">
        <v>1541731</v>
      </c>
      <c r="AE36" s="492">
        <v>1547436.0000000002</v>
      </c>
      <c r="AF36" s="492">
        <v>1554029</v>
      </c>
      <c r="AG36" s="492">
        <v>1561531.9999999998</v>
      </c>
      <c r="AH36" s="493">
        <v>4193194.0870789485</v>
      </c>
      <c r="AI36" s="494">
        <v>4579393.2905939855</v>
      </c>
      <c r="AJ36" s="494">
        <v>4959620.4828477437</v>
      </c>
      <c r="AK36" s="494">
        <v>5320861.2971917298</v>
      </c>
      <c r="AL36" s="494">
        <v>5551563.893712406</v>
      </c>
      <c r="AM36" s="494">
        <v>5759594.621289473</v>
      </c>
      <c r="AN36" s="494">
        <v>5943167.9703383455</v>
      </c>
      <c r="AO36" s="494">
        <v>6160800.197545114</v>
      </c>
      <c r="AP36" s="495">
        <v>6394313.8268289473</v>
      </c>
      <c r="AQ36" s="494">
        <v>0</v>
      </c>
      <c r="AR36" s="494">
        <v>386199.20351503696</v>
      </c>
      <c r="AS36" s="494">
        <v>766426.39576879516</v>
      </c>
      <c r="AT36" s="494">
        <v>1127667.2101127813</v>
      </c>
      <c r="AU36" s="494">
        <v>1358369.8066334575</v>
      </c>
      <c r="AV36" s="494">
        <v>1566400.5342105245</v>
      </c>
      <c r="AW36" s="494">
        <v>1749973.883259397</v>
      </c>
      <c r="AX36" s="494">
        <v>1967606.1104661655</v>
      </c>
      <c r="AY36" s="494">
        <v>2201119.7397499988</v>
      </c>
    </row>
    <row r="37" spans="1:51" x14ac:dyDescent="0.3">
      <c r="A37" s="575" t="s">
        <v>796</v>
      </c>
      <c r="B37" s="488" t="s">
        <v>819</v>
      </c>
      <c r="C37" s="487" t="s">
        <v>641</v>
      </c>
      <c r="D37" s="582" t="s">
        <v>794</v>
      </c>
      <c r="E37" s="582">
        <v>2014</v>
      </c>
      <c r="F37" s="582"/>
      <c r="G37" s="489">
        <v>0.34076967909746902</v>
      </c>
      <c r="H37" s="490">
        <v>0.34695648669389795</v>
      </c>
      <c r="I37" s="490">
        <v>0.35627443725066299</v>
      </c>
      <c r="J37" s="490">
        <v>0.364117066488649</v>
      </c>
      <c r="K37" s="490">
        <v>0.37002162121404197</v>
      </c>
      <c r="L37" s="490">
        <v>0.37770752473772196</v>
      </c>
      <c r="M37" s="490">
        <v>0.38401080203159899</v>
      </c>
      <c r="N37" s="490">
        <v>0.39071593649838499</v>
      </c>
      <c r="O37" s="491">
        <v>0.39774942608012098</v>
      </c>
      <c r="P37" s="489">
        <v>0.24450224475243404</v>
      </c>
      <c r="Q37" s="490">
        <v>0.24894127920287179</v>
      </c>
      <c r="R37" s="490">
        <v>0.25562690872735072</v>
      </c>
      <c r="S37" s="490">
        <v>0.26125399520560566</v>
      </c>
      <c r="T37" s="490">
        <v>0.26549051322107514</v>
      </c>
      <c r="U37" s="490">
        <v>0.27100514899931549</v>
      </c>
      <c r="V37" s="490">
        <v>0.2755277504576723</v>
      </c>
      <c r="W37" s="490">
        <v>0.28033868443759125</v>
      </c>
      <c r="X37" s="491">
        <v>0.28538521321248683</v>
      </c>
      <c r="Y37" s="492">
        <v>1710283.9999999998</v>
      </c>
      <c r="Z37" s="492">
        <v>1740048.0000000002</v>
      </c>
      <c r="AA37" s="492">
        <v>1768115.9999999998</v>
      </c>
      <c r="AB37" s="492">
        <v>1795097</v>
      </c>
      <c r="AC37" s="492">
        <v>1826235</v>
      </c>
      <c r="AD37" s="492">
        <v>1856752</v>
      </c>
      <c r="AE37" s="492">
        <v>1886773</v>
      </c>
      <c r="AF37" s="492">
        <v>1916736</v>
      </c>
      <c r="AG37" s="492">
        <v>1946672</v>
      </c>
      <c r="AH37" s="493">
        <v>375215.34531728807</v>
      </c>
      <c r="AI37" s="494">
        <v>384165.93312459247</v>
      </c>
      <c r="AJ37" s="494">
        <v>396766.96072370902</v>
      </c>
      <c r="AK37" s="494">
        <v>408249.33937002526</v>
      </c>
      <c r="AL37" s="494">
        <v>417642.06438602036</v>
      </c>
      <c r="AM37" s="494">
        <v>430200.61965538748</v>
      </c>
      <c r="AN37" s="494">
        <v>441895.81462802214</v>
      </c>
      <c r="AO37" s="494">
        <v>454148.3884502133</v>
      </c>
      <c r="AP37" s="495">
        <v>466672.45989794726</v>
      </c>
      <c r="AQ37" s="494">
        <v>0</v>
      </c>
      <c r="AR37" s="494">
        <v>8950.5878073044005</v>
      </c>
      <c r="AS37" s="494">
        <v>21551.615406420955</v>
      </c>
      <c r="AT37" s="494">
        <v>33033.994052737195</v>
      </c>
      <c r="AU37" s="494">
        <v>42426.719068732287</v>
      </c>
      <c r="AV37" s="494">
        <v>54985.274338099407</v>
      </c>
      <c r="AW37" s="494">
        <v>66680.469310734072</v>
      </c>
      <c r="AX37" s="494">
        <v>78933.043132925231</v>
      </c>
      <c r="AY37" s="494">
        <v>91457.114580659196</v>
      </c>
    </row>
    <row r="38" spans="1:51" x14ac:dyDescent="0.3">
      <c r="A38" s="575" t="s">
        <v>116</v>
      </c>
      <c r="B38" s="488" t="s">
        <v>820</v>
      </c>
      <c r="C38" s="487" t="s">
        <v>636</v>
      </c>
      <c r="D38" s="582" t="s">
        <v>827</v>
      </c>
      <c r="E38" s="582">
        <v>2017</v>
      </c>
      <c r="F38" s="582"/>
      <c r="G38" s="489">
        <v>0.45387139212128402</v>
      </c>
      <c r="H38" s="490">
        <v>0.46721473254104207</v>
      </c>
      <c r="I38" s="490">
        <v>0.47813140224217499</v>
      </c>
      <c r="J38" s="490">
        <v>0.488506801389403</v>
      </c>
      <c r="K38" s="490">
        <v>0.49970426058082201</v>
      </c>
      <c r="L38" s="490">
        <v>0.509210348242918</v>
      </c>
      <c r="M38" s="490">
        <v>0.51732627650451002</v>
      </c>
      <c r="N38" s="490">
        <v>0.52422316728623597</v>
      </c>
      <c r="O38" s="491">
        <v>0.531538539265901</v>
      </c>
      <c r="P38" s="489">
        <v>0.35568696851953685</v>
      </c>
      <c r="Q38" s="490">
        <v>0.3661437903995105</v>
      </c>
      <c r="R38" s="490">
        <v>0.3746988948183575</v>
      </c>
      <c r="S38" s="490">
        <v>0.38282981986434844</v>
      </c>
      <c r="T38" s="490">
        <v>0.39160497155721558</v>
      </c>
      <c r="U38" s="490">
        <v>0.3990546402556745</v>
      </c>
      <c r="V38" s="490">
        <v>0.40541487791373843</v>
      </c>
      <c r="W38" s="490">
        <v>0.41081978824064203</v>
      </c>
      <c r="X38" s="491">
        <v>0.41655265117980811</v>
      </c>
      <c r="Y38" s="492">
        <v>541946</v>
      </c>
      <c r="Z38" s="492">
        <v>553106</v>
      </c>
      <c r="AA38" s="492">
        <v>564539</v>
      </c>
      <c r="AB38" s="492">
        <v>575944.00000000012</v>
      </c>
      <c r="AC38" s="492">
        <v>585611</v>
      </c>
      <c r="AD38" s="492">
        <v>595609</v>
      </c>
      <c r="AE38" s="492">
        <v>605728.00000000012</v>
      </c>
      <c r="AF38" s="492">
        <v>615844</v>
      </c>
      <c r="AG38" s="492">
        <v>625961</v>
      </c>
      <c r="AH38" s="493">
        <v>608960.63250627485</v>
      </c>
      <c r="AI38" s="494">
        <v>637951.3654901681</v>
      </c>
      <c r="AJ38" s="494">
        <v>663587.99573436298</v>
      </c>
      <c r="AK38" s="494">
        <v>688524.02498386893</v>
      </c>
      <c r="AL38" s="494">
        <v>716919.05352922599</v>
      </c>
      <c r="AM38" s="494">
        <v>743015.79687765066</v>
      </c>
      <c r="AN38" s="494">
        <v>767247.65645174996</v>
      </c>
      <c r="AO38" s="494">
        <v>790073.4164122378</v>
      </c>
      <c r="AP38" s="495">
        <v>813980.53703864897</v>
      </c>
      <c r="AQ38" s="494">
        <v>0</v>
      </c>
      <c r="AR38" s="494">
        <v>28990.732983893249</v>
      </c>
      <c r="AS38" s="494">
        <v>54627.363228088128</v>
      </c>
      <c r="AT38" s="494">
        <v>79563.392477594083</v>
      </c>
      <c r="AU38" s="494">
        <v>107958.42102295114</v>
      </c>
      <c r="AV38" s="494">
        <v>134055.16437137581</v>
      </c>
      <c r="AW38" s="494">
        <v>158287.02394547511</v>
      </c>
      <c r="AX38" s="494">
        <v>181112.78390596295</v>
      </c>
      <c r="AY38" s="494">
        <v>205019.90453237412</v>
      </c>
    </row>
    <row r="39" spans="1:51" x14ac:dyDescent="0.3">
      <c r="A39" s="575" t="s">
        <v>73</v>
      </c>
      <c r="B39" s="488" t="s">
        <v>819</v>
      </c>
      <c r="C39" s="487" t="s">
        <v>243</v>
      </c>
      <c r="D39" s="582" t="s">
        <v>797</v>
      </c>
      <c r="E39" s="582">
        <v>2014</v>
      </c>
      <c r="F39" s="582"/>
      <c r="G39" s="489">
        <v>0.55729927557587799</v>
      </c>
      <c r="H39" s="490">
        <v>0.57779049177236197</v>
      </c>
      <c r="I39" s="490">
        <v>0.59455055716036398</v>
      </c>
      <c r="J39" s="490">
        <v>0.605133175278735</v>
      </c>
      <c r="K39" s="490">
        <v>0.61299312334326606</v>
      </c>
      <c r="L39" s="490">
        <v>0.62119592778622201</v>
      </c>
      <c r="M39" s="490">
        <v>0.62703917905196005</v>
      </c>
      <c r="N39" s="490">
        <v>0.632661170866891</v>
      </c>
      <c r="O39" s="491">
        <v>0.63756142611231204</v>
      </c>
      <c r="P39" s="489">
        <v>0.45199021514097132</v>
      </c>
      <c r="Q39" s="490">
        <v>0.46860934533377185</v>
      </c>
      <c r="R39" s="490">
        <v>0.48220237495447582</v>
      </c>
      <c r="S39" s="490">
        <v>0.49078526757556268</v>
      </c>
      <c r="T39" s="490">
        <v>0.49715997461786632</v>
      </c>
      <c r="U39" s="490">
        <v>0.50381275079651788</v>
      </c>
      <c r="V39" s="490">
        <v>0.50855184254214147</v>
      </c>
      <c r="W39" s="490">
        <v>0.5131114847331808</v>
      </c>
      <c r="X39" s="491">
        <v>0.51708577201416617</v>
      </c>
      <c r="Y39" s="492">
        <v>973063</v>
      </c>
      <c r="Z39" s="492">
        <v>999841</v>
      </c>
      <c r="AA39" s="492">
        <v>1027553.0000000001</v>
      </c>
      <c r="AB39" s="492">
        <v>1057053.9999999998</v>
      </c>
      <c r="AC39" s="492">
        <v>1087919.9999999998</v>
      </c>
      <c r="AD39" s="492">
        <v>1120375.0000000002</v>
      </c>
      <c r="AE39" s="492">
        <v>1154188</v>
      </c>
      <c r="AF39" s="492">
        <v>1188905.0000000002</v>
      </c>
      <c r="AG39" s="492">
        <v>1224171</v>
      </c>
      <c r="AH39" s="493">
        <v>237932.16915235872</v>
      </c>
      <c r="AI39" s="494">
        <v>247712.05464623048</v>
      </c>
      <c r="AJ39" s="494">
        <v>256243.78865793333</v>
      </c>
      <c r="AK39" s="494">
        <v>262440.5508422862</v>
      </c>
      <c r="AL39" s="494">
        <v>268121.35727126303</v>
      </c>
      <c r="AM39" s="494">
        <v>274465.09512792394</v>
      </c>
      <c r="AN39" s="494">
        <v>280029.49512924725</v>
      </c>
      <c r="AO39" s="494">
        <v>285492.15143663337</v>
      </c>
      <c r="AP39" s="495">
        <v>290511.71386185882</v>
      </c>
      <c r="AQ39" s="494">
        <v>0</v>
      </c>
      <c r="AR39" s="494">
        <v>9779.8854938717559</v>
      </c>
      <c r="AS39" s="494">
        <v>18311.619505574607</v>
      </c>
      <c r="AT39" s="494">
        <v>24508.381689927483</v>
      </c>
      <c r="AU39" s="494">
        <v>30189.188118904305</v>
      </c>
      <c r="AV39" s="494">
        <v>36532.925975565217</v>
      </c>
      <c r="AW39" s="494">
        <v>42097.325976888533</v>
      </c>
      <c r="AX39" s="494">
        <v>47559.982284274651</v>
      </c>
      <c r="AY39" s="494">
        <v>52579.5447095001</v>
      </c>
    </row>
    <row r="40" spans="1:51" ht="12.75" customHeight="1" x14ac:dyDescent="0.3">
      <c r="A40" s="576" t="s">
        <v>74</v>
      </c>
      <c r="B40" s="488" t="s">
        <v>819</v>
      </c>
      <c r="C40" s="487" t="s">
        <v>636</v>
      </c>
      <c r="D40" s="581" t="s">
        <v>931</v>
      </c>
      <c r="E40" s="581">
        <v>2016</v>
      </c>
      <c r="F40" s="581" t="s">
        <v>929</v>
      </c>
      <c r="G40" s="489">
        <v>0.17299999999999999</v>
      </c>
      <c r="H40" s="490">
        <v>0.192</v>
      </c>
      <c r="I40" s="490">
        <v>0.21199999999999999</v>
      </c>
      <c r="J40" s="490">
        <v>0.23400000000000001</v>
      </c>
      <c r="K40" s="490">
        <v>0.254</v>
      </c>
      <c r="L40" s="490">
        <v>0.26600000000000001</v>
      </c>
      <c r="M40" s="490">
        <v>0.27600000000000002</v>
      </c>
      <c r="N40" s="490">
        <v>0.28499999999999998</v>
      </c>
      <c r="O40" s="491">
        <v>0.29199999999999998</v>
      </c>
      <c r="P40" s="489">
        <v>0.18568062827225129</v>
      </c>
      <c r="Q40" s="490">
        <v>0.20607329842931937</v>
      </c>
      <c r="R40" s="490">
        <v>0.22753926701570679</v>
      </c>
      <c r="S40" s="490">
        <v>0.25115183246073297</v>
      </c>
      <c r="T40" s="490">
        <v>0.27261780104712041</v>
      </c>
      <c r="U40" s="490">
        <v>0.28549738219895288</v>
      </c>
      <c r="V40" s="490">
        <v>0.29623036649214662</v>
      </c>
      <c r="W40" s="490">
        <v>0.3058900523560209</v>
      </c>
      <c r="X40" s="491">
        <v>0.31340314136125652</v>
      </c>
      <c r="Y40" s="492">
        <v>5323772.9999999991</v>
      </c>
      <c r="Z40" s="492">
        <v>5504581.9999999991</v>
      </c>
      <c r="AA40" s="492">
        <v>5689496</v>
      </c>
      <c r="AB40" s="492">
        <v>5876585</v>
      </c>
      <c r="AC40" s="492">
        <v>6066994</v>
      </c>
      <c r="AD40" s="492">
        <v>6258703</v>
      </c>
      <c r="AE40" s="492">
        <v>6452259</v>
      </c>
      <c r="AF40" s="492">
        <v>6649043</v>
      </c>
      <c r="AG40" s="492">
        <v>6849501</v>
      </c>
      <c r="AH40" s="493">
        <v>179679.05900523561</v>
      </c>
      <c r="AI40" s="494">
        <v>205407.88774869111</v>
      </c>
      <c r="AJ40" s="494">
        <v>233596.13476439781</v>
      </c>
      <c r="AK40" s="494">
        <v>265660.37151832459</v>
      </c>
      <c r="AL40" s="494">
        <v>296920.31492146594</v>
      </c>
      <c r="AM40" s="494">
        <v>320195.59204188472</v>
      </c>
      <c r="AN40" s="494">
        <v>342122.67109947646</v>
      </c>
      <c r="AO40" s="494">
        <v>363755.27356020932</v>
      </c>
      <c r="AP40" s="495">
        <v>383645.24722513091</v>
      </c>
      <c r="AQ40" s="494">
        <v>0</v>
      </c>
      <c r="AR40" s="494">
        <v>25728.828743455495</v>
      </c>
      <c r="AS40" s="494">
        <v>53917.075759162195</v>
      </c>
      <c r="AT40" s="494">
        <v>85981.312513088982</v>
      </c>
      <c r="AU40" s="494">
        <v>117241.25591623032</v>
      </c>
      <c r="AV40" s="494">
        <v>140516.53303664911</v>
      </c>
      <c r="AW40" s="494">
        <v>162443.61209424085</v>
      </c>
      <c r="AX40" s="494">
        <v>184076.2145549737</v>
      </c>
      <c r="AY40" s="494">
        <v>203966.1882198953</v>
      </c>
    </row>
    <row r="41" spans="1:51" ht="12.75" customHeight="1" x14ac:dyDescent="0.3">
      <c r="A41" s="576" t="s">
        <v>75</v>
      </c>
      <c r="B41" s="488" t="s">
        <v>819</v>
      </c>
      <c r="C41" s="487" t="s">
        <v>636</v>
      </c>
      <c r="D41" s="581" t="s">
        <v>828</v>
      </c>
      <c r="E41" s="581">
        <v>2017</v>
      </c>
      <c r="F41" s="581" t="s">
        <v>929</v>
      </c>
      <c r="G41" s="489">
        <v>0.32700000000000001</v>
      </c>
      <c r="H41" s="490">
        <v>0.33800000000000002</v>
      </c>
      <c r="I41" s="490">
        <v>0.35099999999999992</v>
      </c>
      <c r="J41" s="490">
        <v>0.36600000000000005</v>
      </c>
      <c r="K41" s="490">
        <v>0.38</v>
      </c>
      <c r="L41" s="490">
        <v>0.39400000000000002</v>
      </c>
      <c r="M41" s="490">
        <v>0.40699999999999997</v>
      </c>
      <c r="N41" s="490">
        <v>0.42</v>
      </c>
      <c r="O41" s="491">
        <v>0.43100000000000005</v>
      </c>
      <c r="P41" s="489">
        <v>0.2782442159383034</v>
      </c>
      <c r="Q41" s="490">
        <v>0.28760411311053991</v>
      </c>
      <c r="R41" s="490">
        <v>0.29866580976863749</v>
      </c>
      <c r="S41" s="490">
        <v>0.31142930591259649</v>
      </c>
      <c r="T41" s="490">
        <v>0.3233419023136247</v>
      </c>
      <c r="U41" s="490">
        <v>0.33525449871465302</v>
      </c>
      <c r="V41" s="490">
        <v>0.34631619537275066</v>
      </c>
      <c r="W41" s="490">
        <v>0.35737789203084835</v>
      </c>
      <c r="X41" s="491">
        <v>0.36673778920308492</v>
      </c>
      <c r="Y41" s="492">
        <v>3738603.9999999995</v>
      </c>
      <c r="Z41" s="492">
        <v>3879959</v>
      </c>
      <c r="AA41" s="492">
        <v>4024577.9999999995</v>
      </c>
      <c r="AB41" s="492">
        <v>4170093.9999999991</v>
      </c>
      <c r="AC41" s="492">
        <v>4325137</v>
      </c>
      <c r="AD41" s="492">
        <v>4476469.9999999991</v>
      </c>
      <c r="AE41" s="492">
        <v>4628373</v>
      </c>
      <c r="AF41" s="492">
        <v>4787683.9999999991</v>
      </c>
      <c r="AG41" s="492">
        <v>4957372</v>
      </c>
      <c r="AH41" s="493">
        <v>1481318.7827660679</v>
      </c>
      <c r="AI41" s="494">
        <v>1583156.8175886895</v>
      </c>
      <c r="AJ41" s="494">
        <v>1699273.4606375319</v>
      </c>
      <c r="AK41" s="494">
        <v>1830140.7876863759</v>
      </c>
      <c r="AL41" s="494">
        <v>1961646.7728534706</v>
      </c>
      <c r="AM41" s="494">
        <v>2098099.7614910034</v>
      </c>
      <c r="AN41" s="494">
        <v>2234246.8133804621</v>
      </c>
      <c r="AO41" s="494">
        <v>2375799.6228277637</v>
      </c>
      <c r="AP41" s="495">
        <v>2511369.770647815</v>
      </c>
      <c r="AQ41" s="494">
        <v>0</v>
      </c>
      <c r="AR41" s="494">
        <v>101838.03482262162</v>
      </c>
      <c r="AS41" s="494">
        <v>217954.67787146405</v>
      </c>
      <c r="AT41" s="494">
        <v>348822.00492030801</v>
      </c>
      <c r="AU41" s="494">
        <v>480327.99008740275</v>
      </c>
      <c r="AV41" s="494">
        <v>616780.97872493556</v>
      </c>
      <c r="AW41" s="494">
        <v>752928.03061439423</v>
      </c>
      <c r="AX41" s="494">
        <v>894480.84006169578</v>
      </c>
      <c r="AY41" s="494">
        <v>1030050.9878817471</v>
      </c>
    </row>
    <row r="42" spans="1:51" x14ac:dyDescent="0.3">
      <c r="A42" s="576" t="s">
        <v>37</v>
      </c>
      <c r="B42" s="488" t="s">
        <v>819</v>
      </c>
      <c r="C42" s="487" t="s">
        <v>243</v>
      </c>
      <c r="D42" s="581" t="s">
        <v>797</v>
      </c>
      <c r="E42" s="581">
        <v>2015.5</v>
      </c>
      <c r="F42" s="581" t="s">
        <v>818</v>
      </c>
      <c r="G42" s="489">
        <v>0.49</v>
      </c>
      <c r="H42" s="490">
        <v>0.52200000000000002</v>
      </c>
      <c r="I42" s="490">
        <v>0.55200000000000005</v>
      </c>
      <c r="J42" s="490">
        <v>0.57599999999999996</v>
      </c>
      <c r="K42" s="490">
        <v>0.59199999999999997</v>
      </c>
      <c r="L42" s="490">
        <v>0.60499999999999998</v>
      </c>
      <c r="M42" s="490">
        <v>0.61399999999999999</v>
      </c>
      <c r="N42" s="490">
        <v>0.621</v>
      </c>
      <c r="O42" s="491">
        <v>0.627</v>
      </c>
      <c r="P42" s="489">
        <v>0.38120481927710848</v>
      </c>
      <c r="Q42" s="490">
        <v>0.40609982788296045</v>
      </c>
      <c r="R42" s="490">
        <v>0.42943889845094668</v>
      </c>
      <c r="S42" s="490">
        <v>0.44811015490533562</v>
      </c>
      <c r="T42" s="490">
        <v>0.46055765920826164</v>
      </c>
      <c r="U42" s="490">
        <v>0.47067125645438901</v>
      </c>
      <c r="V42" s="490">
        <v>0.47767297762478489</v>
      </c>
      <c r="W42" s="490">
        <v>0.48311876075731502</v>
      </c>
      <c r="X42" s="491">
        <v>0.48778657487091226</v>
      </c>
      <c r="Y42" s="492">
        <v>3518108</v>
      </c>
      <c r="Z42" s="492">
        <v>3620947</v>
      </c>
      <c r="AA42" s="492">
        <v>3730145</v>
      </c>
      <c r="AB42" s="492">
        <v>3846637</v>
      </c>
      <c r="AC42" s="492">
        <v>3971695.9999999995</v>
      </c>
      <c r="AD42" s="492">
        <v>4103754</v>
      </c>
      <c r="AE42" s="492">
        <v>4243425.9999999991</v>
      </c>
      <c r="AF42" s="492">
        <v>4391318</v>
      </c>
      <c r="AG42" s="492">
        <v>4547306</v>
      </c>
      <c r="AH42" s="493">
        <v>1365676.9387951815</v>
      </c>
      <c r="AI42" s="494">
        <v>1506502.0339001727</v>
      </c>
      <c r="AJ42" s="494">
        <v>1649452.4781273664</v>
      </c>
      <c r="AK42" s="494">
        <v>1781140.1777349396</v>
      </c>
      <c r="AL42" s="494">
        <v>1894903.2346437178</v>
      </c>
      <c r="AM42" s="494">
        <v>2002453.9164199661</v>
      </c>
      <c r="AN42" s="494">
        <v>2100733.1493012048</v>
      </c>
      <c r="AO42" s="494">
        <v>2197388.3843029262</v>
      </c>
      <c r="AP42" s="495">
        <v>2296194.8156695366</v>
      </c>
      <c r="AQ42" s="494">
        <v>0</v>
      </c>
      <c r="AR42" s="501">
        <v>140825.09510499123</v>
      </c>
      <c r="AS42" s="494">
        <v>283775.53933218494</v>
      </c>
      <c r="AT42" s="494">
        <v>415463.23893975816</v>
      </c>
      <c r="AU42" s="494">
        <v>529226.29584853631</v>
      </c>
      <c r="AV42" s="494">
        <v>636776.97762478469</v>
      </c>
      <c r="AW42" s="494">
        <v>735056.21050602337</v>
      </c>
      <c r="AX42" s="494">
        <v>831711.44550774479</v>
      </c>
      <c r="AY42" s="494">
        <v>930517.87687435513</v>
      </c>
    </row>
    <row r="43" spans="1:51" x14ac:dyDescent="0.3">
      <c r="A43" s="573" t="s">
        <v>76</v>
      </c>
      <c r="B43" s="488" t="s">
        <v>819</v>
      </c>
      <c r="C43" s="487" t="s">
        <v>243</v>
      </c>
      <c r="D43" s="581" t="s">
        <v>797</v>
      </c>
      <c r="E43" s="581">
        <v>2018</v>
      </c>
      <c r="F43" s="581" t="s">
        <v>818</v>
      </c>
      <c r="G43" s="489">
        <v>0.10100000000000001</v>
      </c>
      <c r="H43" s="490">
        <v>0.111</v>
      </c>
      <c r="I43" s="490">
        <v>0.121</v>
      </c>
      <c r="J43" s="490">
        <v>0.13200000000000001</v>
      </c>
      <c r="K43" s="490">
        <v>0.14199999999999999</v>
      </c>
      <c r="L43" s="490">
        <v>0.152</v>
      </c>
      <c r="M43" s="490">
        <v>0.161</v>
      </c>
      <c r="N43" s="490">
        <v>0.16900000000000001</v>
      </c>
      <c r="O43" s="491">
        <v>0.17499999999999999</v>
      </c>
      <c r="P43" s="489">
        <v>9.6317880794702007E-2</v>
      </c>
      <c r="Q43" s="490">
        <v>0.10585430463576161</v>
      </c>
      <c r="R43" s="490">
        <v>0.11539072847682121</v>
      </c>
      <c r="S43" s="490">
        <v>0.12588079470198676</v>
      </c>
      <c r="T43" s="490">
        <v>0.13541721854304636</v>
      </c>
      <c r="U43" s="490">
        <v>0.14495364238410596</v>
      </c>
      <c r="V43" s="490">
        <v>0.15353642384105962</v>
      </c>
      <c r="W43" s="490">
        <v>0.16116556291390732</v>
      </c>
      <c r="X43" s="491">
        <v>0.16688741721854305</v>
      </c>
      <c r="Y43" s="492">
        <v>924210</v>
      </c>
      <c r="Z43" s="492">
        <v>953401</v>
      </c>
      <c r="AA43" s="492">
        <v>983126</v>
      </c>
      <c r="AB43" s="492">
        <v>1013192</v>
      </c>
      <c r="AC43" s="492">
        <v>1042278</v>
      </c>
      <c r="AD43" s="492">
        <v>1072077</v>
      </c>
      <c r="AE43" s="492">
        <v>1102463</v>
      </c>
      <c r="AF43" s="492">
        <v>1133291.0000000002</v>
      </c>
      <c r="AG43" s="492">
        <v>1164527</v>
      </c>
      <c r="AH43" s="493">
        <v>338321.46850331133</v>
      </c>
      <c r="AI43" s="494">
        <v>382694.43242384109</v>
      </c>
      <c r="AJ43" s="494">
        <v>429763.65234437096</v>
      </c>
      <c r="AK43" s="494">
        <v>483491.26442384103</v>
      </c>
      <c r="AL43" s="494">
        <v>537058.86580132449</v>
      </c>
      <c r="AM43" s="494">
        <v>594023.21547019866</v>
      </c>
      <c r="AN43" s="494">
        <v>650631.4769801324</v>
      </c>
      <c r="AO43" s="494">
        <v>706769.65764238441</v>
      </c>
      <c r="AP43" s="495">
        <v>757846.77615894016</v>
      </c>
      <c r="AQ43" s="494">
        <v>0</v>
      </c>
      <c r="AR43" s="494">
        <v>44372.963920529757</v>
      </c>
      <c r="AS43" s="494">
        <v>91442.183841059625</v>
      </c>
      <c r="AT43" s="494">
        <v>145169.79592052969</v>
      </c>
      <c r="AU43" s="494">
        <v>198737.39729801315</v>
      </c>
      <c r="AV43" s="494">
        <v>255701.74696688732</v>
      </c>
      <c r="AW43" s="494">
        <v>312310.00847682107</v>
      </c>
      <c r="AX43" s="494">
        <v>368448.18913907307</v>
      </c>
      <c r="AY43" s="494">
        <v>419525.30765562883</v>
      </c>
    </row>
    <row r="44" spans="1:51" x14ac:dyDescent="0.3">
      <c r="A44" s="574" t="s">
        <v>77</v>
      </c>
      <c r="B44" s="488" t="s">
        <v>820</v>
      </c>
      <c r="C44" s="487" t="s">
        <v>639</v>
      </c>
      <c r="D44" s="582" t="s">
        <v>794</v>
      </c>
      <c r="E44" s="582">
        <v>2015</v>
      </c>
      <c r="F44" s="582"/>
      <c r="G44" s="489">
        <v>8.4592484142137894E-2</v>
      </c>
      <c r="H44" s="490">
        <v>9.4822346494482498E-2</v>
      </c>
      <c r="I44" s="490">
        <v>0.10584628447705199</v>
      </c>
      <c r="J44" s="490">
        <v>0.11716727807200999</v>
      </c>
      <c r="K44" s="490">
        <v>0.125278576976496</v>
      </c>
      <c r="L44" s="490">
        <v>0.131775660912958</v>
      </c>
      <c r="M44" s="490">
        <v>0.13781641220930901</v>
      </c>
      <c r="N44" s="490">
        <v>0.1438891373749</v>
      </c>
      <c r="O44" s="491">
        <v>0.15062538731076899</v>
      </c>
      <c r="P44" s="489">
        <v>5.6394989428091936E-2</v>
      </c>
      <c r="Q44" s="490">
        <v>6.3214897662988337E-2</v>
      </c>
      <c r="R44" s="490">
        <v>7.0564189651368001E-2</v>
      </c>
      <c r="S44" s="490">
        <v>7.8111518714673339E-2</v>
      </c>
      <c r="T44" s="490">
        <v>8.3519051317664003E-2</v>
      </c>
      <c r="U44" s="490">
        <v>8.7850440608638683E-2</v>
      </c>
      <c r="V44" s="490">
        <v>9.1877608139539352E-2</v>
      </c>
      <c r="W44" s="490">
        <v>9.5926091583266676E-2</v>
      </c>
      <c r="X44" s="491">
        <v>0.100416924873846</v>
      </c>
      <c r="Y44" s="492">
        <v>827075</v>
      </c>
      <c r="Z44" s="492">
        <v>830065</v>
      </c>
      <c r="AA44" s="492">
        <v>832152.99999999988</v>
      </c>
      <c r="AB44" s="492">
        <v>833798</v>
      </c>
      <c r="AC44" s="492">
        <v>833738</v>
      </c>
      <c r="AD44" s="492">
        <v>834825</v>
      </c>
      <c r="AE44" s="492">
        <v>836489</v>
      </c>
      <c r="AF44" s="492">
        <v>838002</v>
      </c>
      <c r="AG44" s="492">
        <v>839240</v>
      </c>
      <c r="AH44" s="493">
        <v>50799.591367015513</v>
      </c>
      <c r="AI44" s="494">
        <v>58697.561075991172</v>
      </c>
      <c r="AJ44" s="494">
        <v>67529.294418652309</v>
      </c>
      <c r="AK44" s="494">
        <v>77027.018388838827</v>
      </c>
      <c r="AL44" s="494">
        <v>84747.700081598174</v>
      </c>
      <c r="AM44" s="494">
        <v>91754.250637964768</v>
      </c>
      <c r="AN44" s="494">
        <v>98771.736343897821</v>
      </c>
      <c r="AO44" s="494">
        <v>106114.40177032539</v>
      </c>
      <c r="AP44" s="495">
        <v>114259.4983846306</v>
      </c>
      <c r="AQ44" s="494">
        <v>0</v>
      </c>
      <c r="AR44" s="494">
        <v>7897.9697089756592</v>
      </c>
      <c r="AS44" s="494">
        <v>16729.703051636796</v>
      </c>
      <c r="AT44" s="494">
        <v>26227.427021823314</v>
      </c>
      <c r="AU44" s="494">
        <v>33948.10871458266</v>
      </c>
      <c r="AV44" s="494">
        <v>40954.659270949254</v>
      </c>
      <c r="AW44" s="494">
        <v>47972.144976882308</v>
      </c>
      <c r="AX44" s="494">
        <v>55314.810403309879</v>
      </c>
      <c r="AY44" s="494">
        <v>63459.907017615085</v>
      </c>
    </row>
    <row r="45" spans="1:51" x14ac:dyDescent="0.3">
      <c r="A45" s="575" t="s">
        <v>78</v>
      </c>
      <c r="B45" s="488" t="s">
        <v>819</v>
      </c>
      <c r="C45" s="487" t="s">
        <v>636</v>
      </c>
      <c r="D45" s="582" t="s">
        <v>932</v>
      </c>
      <c r="E45" s="582">
        <v>2013</v>
      </c>
      <c r="F45" s="582"/>
      <c r="G45" s="489">
        <v>0.50060945533480194</v>
      </c>
      <c r="H45" s="490">
        <v>0.50422898592925103</v>
      </c>
      <c r="I45" s="490">
        <v>0.50869028075195599</v>
      </c>
      <c r="J45" s="490">
        <v>0.51539062780365597</v>
      </c>
      <c r="K45" s="490">
        <v>0.52107319821226905</v>
      </c>
      <c r="L45" s="490">
        <v>0.52725716667801703</v>
      </c>
      <c r="M45" s="490">
        <v>0.53424440452772204</v>
      </c>
      <c r="N45" s="490">
        <v>0.53900241981026797</v>
      </c>
      <c r="O45" s="491">
        <v>0.54481544528086101</v>
      </c>
      <c r="P45" s="489">
        <v>0.38324665771481725</v>
      </c>
      <c r="Q45" s="490">
        <v>0.38601762615745566</v>
      </c>
      <c r="R45" s="490">
        <v>0.38943301576238953</v>
      </c>
      <c r="S45" s="490">
        <v>0.39456253456337975</v>
      </c>
      <c r="T45" s="490">
        <v>0.39891288410856279</v>
      </c>
      <c r="U45" s="490">
        <v>0.40364708403358562</v>
      </c>
      <c r="V45" s="490">
        <v>0.40899623500151333</v>
      </c>
      <c r="W45" s="490">
        <v>0.41263878197093123</v>
      </c>
      <c r="X45" s="491">
        <v>0.41708900271501598</v>
      </c>
      <c r="Y45" s="492">
        <v>5976600</v>
      </c>
      <c r="Z45" s="492">
        <v>6160295.9999999991</v>
      </c>
      <c r="AA45" s="492">
        <v>6354236</v>
      </c>
      <c r="AB45" s="492">
        <v>6558523</v>
      </c>
      <c r="AC45" s="492">
        <v>6767487</v>
      </c>
      <c r="AD45" s="492">
        <v>6987815.0000000009</v>
      </c>
      <c r="AE45" s="492">
        <v>7218222</v>
      </c>
      <c r="AF45" s="492">
        <v>7456773.0000000009</v>
      </c>
      <c r="AG45" s="492">
        <v>7702233</v>
      </c>
      <c r="AH45" s="493">
        <v>318555.77163252927</v>
      </c>
      <c r="AI45" s="494">
        <v>322611.9149553366</v>
      </c>
      <c r="AJ45" s="494">
        <v>326865.92858397256</v>
      </c>
      <c r="AK45" s="494">
        <v>332311.61436024623</v>
      </c>
      <c r="AL45" s="494">
        <v>336707.20678644173</v>
      </c>
      <c r="AM45" s="494">
        <v>341565.3552150522</v>
      </c>
      <c r="AN45" s="494">
        <v>347039.03134607401</v>
      </c>
      <c r="AO45" s="494">
        <v>351146.93804284104</v>
      </c>
      <c r="AP45" s="495">
        <v>356102.66582702904</v>
      </c>
      <c r="AQ45" s="494">
        <v>0</v>
      </c>
      <c r="AR45" s="494">
        <v>4056.1433228073292</v>
      </c>
      <c r="AS45" s="494">
        <v>8310.1569514432922</v>
      </c>
      <c r="AT45" s="494">
        <v>13755.842727716954</v>
      </c>
      <c r="AU45" s="494">
        <v>18151.435153912462</v>
      </c>
      <c r="AV45" s="494">
        <v>23009.58358252293</v>
      </c>
      <c r="AW45" s="494">
        <v>28483.259713544743</v>
      </c>
      <c r="AX45" s="494">
        <v>32591.166410311766</v>
      </c>
      <c r="AY45" s="494">
        <v>37546.894194499764</v>
      </c>
    </row>
    <row r="46" spans="1:51" x14ac:dyDescent="0.3">
      <c r="A46" s="576" t="s">
        <v>38</v>
      </c>
      <c r="B46" s="488" t="s">
        <v>819</v>
      </c>
      <c r="C46" s="487" t="s">
        <v>641</v>
      </c>
      <c r="D46" s="581" t="s">
        <v>830</v>
      </c>
      <c r="E46" s="581">
        <v>2015</v>
      </c>
      <c r="F46" s="581" t="s">
        <v>818</v>
      </c>
      <c r="G46" s="489">
        <v>0.14099999999999999</v>
      </c>
      <c r="H46" s="490">
        <v>0.17</v>
      </c>
      <c r="I46" s="490">
        <v>0.20499999999999999</v>
      </c>
      <c r="J46" s="490">
        <v>0.24299999999999999</v>
      </c>
      <c r="K46" s="490">
        <v>0.27200000000000002</v>
      </c>
      <c r="L46" s="490">
        <v>0.29899999999999999</v>
      </c>
      <c r="M46" s="490">
        <v>0.33</v>
      </c>
      <c r="N46" s="490">
        <v>0.35</v>
      </c>
      <c r="O46" s="491">
        <v>0.36599999999999999</v>
      </c>
      <c r="P46" s="489">
        <v>0.14334071146245056</v>
      </c>
      <c r="Q46" s="490">
        <v>0.17282213438735178</v>
      </c>
      <c r="R46" s="490">
        <v>0.20840316205533593</v>
      </c>
      <c r="S46" s="490">
        <v>0.24703399209486163</v>
      </c>
      <c r="T46" s="490">
        <v>0.27651541501976284</v>
      </c>
      <c r="U46" s="490">
        <v>0.30396363636363632</v>
      </c>
      <c r="V46" s="490">
        <v>0.33547826086956523</v>
      </c>
      <c r="W46" s="490">
        <v>0.35581027667984183</v>
      </c>
      <c r="X46" s="491">
        <v>0.37207588932806318</v>
      </c>
      <c r="Y46" s="492">
        <v>13918705.000000002</v>
      </c>
      <c r="Z46" s="492">
        <v>14034058</v>
      </c>
      <c r="AA46" s="492">
        <v>14159899.000000002</v>
      </c>
      <c r="AB46" s="492">
        <v>14296029.999999998</v>
      </c>
      <c r="AC46" s="492">
        <v>14449937</v>
      </c>
      <c r="AD46" s="492">
        <v>14611253</v>
      </c>
      <c r="AE46" s="492">
        <v>14773610</v>
      </c>
      <c r="AF46" s="492">
        <v>14926514.000000002</v>
      </c>
      <c r="AG46" s="492">
        <v>15063189</v>
      </c>
      <c r="AH46" s="493">
        <v>837119.07208695635</v>
      </c>
      <c r="AI46" s="494">
        <v>1039026.8921264822</v>
      </c>
      <c r="AJ46" s="494">
        <v>1291468.1431620547</v>
      </c>
      <c r="AK46" s="494">
        <v>1580089.6897328061</v>
      </c>
      <c r="AL46" s="494">
        <v>1826629.5853786564</v>
      </c>
      <c r="AM46" s="494">
        <v>2075870.108472727</v>
      </c>
      <c r="AN46" s="494">
        <v>2370051.2566956514</v>
      </c>
      <c r="AO46" s="494">
        <v>2600490.9996047434</v>
      </c>
      <c r="AP46" s="495">
        <v>2812485.9281454543</v>
      </c>
      <c r="AQ46" s="494">
        <v>0</v>
      </c>
      <c r="AR46" s="494">
        <v>201907.82003952586</v>
      </c>
      <c r="AS46" s="494">
        <v>454349.07107509836</v>
      </c>
      <c r="AT46" s="494">
        <v>742970.61764584971</v>
      </c>
      <c r="AU46" s="494">
        <v>989510.51329170004</v>
      </c>
      <c r="AV46" s="494">
        <v>1238751.0363857707</v>
      </c>
      <c r="AW46" s="494">
        <v>1532932.1846086951</v>
      </c>
      <c r="AX46" s="494">
        <v>1763371.9275177871</v>
      </c>
      <c r="AY46" s="494">
        <v>1975366.8560584979</v>
      </c>
    </row>
    <row r="47" spans="1:51" s="508" customFormat="1" x14ac:dyDescent="0.3">
      <c r="A47" s="576" t="s">
        <v>79</v>
      </c>
      <c r="B47" s="488" t="s">
        <v>819</v>
      </c>
      <c r="C47" s="487" t="s">
        <v>640</v>
      </c>
      <c r="D47" s="581" t="s">
        <v>797</v>
      </c>
      <c r="E47" s="581">
        <v>2015.5</v>
      </c>
      <c r="F47" s="581" t="s">
        <v>929</v>
      </c>
      <c r="G47" s="496">
        <v>0.45400000000000001</v>
      </c>
      <c r="H47" s="505">
        <v>0.46899999999999997</v>
      </c>
      <c r="I47" s="505">
        <v>0.48599999999999999</v>
      </c>
      <c r="J47" s="505">
        <v>0.499</v>
      </c>
      <c r="K47" s="505">
        <v>0.51200000000000001</v>
      </c>
      <c r="L47" s="505">
        <v>0.52200000000000002</v>
      </c>
      <c r="M47" s="505">
        <v>0.53200000000000003</v>
      </c>
      <c r="N47" s="505">
        <v>0.54100000000000004</v>
      </c>
      <c r="O47" s="506">
        <v>0.54900000000000004</v>
      </c>
      <c r="P47" s="496">
        <v>0.27523196881091622</v>
      </c>
      <c r="Q47" s="505">
        <v>0.28432553606237815</v>
      </c>
      <c r="R47" s="505">
        <v>0.29463157894736841</v>
      </c>
      <c r="S47" s="505">
        <v>0.30251267056530218</v>
      </c>
      <c r="T47" s="505">
        <v>0.31039376218323589</v>
      </c>
      <c r="U47" s="505">
        <v>0.31645614035087721</v>
      </c>
      <c r="V47" s="505">
        <v>0.32251851851851854</v>
      </c>
      <c r="W47" s="505">
        <v>0.32797465886939575</v>
      </c>
      <c r="X47" s="506">
        <v>0.3328245614035088</v>
      </c>
      <c r="Y47" s="492">
        <v>7373654</v>
      </c>
      <c r="Z47" s="492">
        <v>7552678.0000000009</v>
      </c>
      <c r="AA47" s="492">
        <v>7723831.9999999991</v>
      </c>
      <c r="AB47" s="492">
        <v>7882395</v>
      </c>
      <c r="AC47" s="492">
        <v>8060560</v>
      </c>
      <c r="AD47" s="492">
        <v>8219465</v>
      </c>
      <c r="AE47" s="492">
        <v>8363089.9999999981</v>
      </c>
      <c r="AF47" s="492">
        <v>8499270</v>
      </c>
      <c r="AG47" s="492">
        <v>8632188.9999999981</v>
      </c>
      <c r="AH47" s="497">
        <v>3944485.860085771</v>
      </c>
      <c r="AI47" s="501">
        <v>4108599.5294814813</v>
      </c>
      <c r="AJ47" s="501">
        <v>4292179.5836842107</v>
      </c>
      <c r="AK47" s="501">
        <v>4440753.8058615988</v>
      </c>
      <c r="AL47" s="501">
        <v>4587328.6557192989</v>
      </c>
      <c r="AM47" s="501">
        <v>4704319.8936842112</v>
      </c>
      <c r="AN47" s="501">
        <v>4819321.3330370383</v>
      </c>
      <c r="AO47" s="501">
        <v>4924262.3643372329</v>
      </c>
      <c r="AP47" s="507">
        <v>5019727.265649124</v>
      </c>
      <c r="AQ47" s="501">
        <v>0</v>
      </c>
      <c r="AR47" s="501">
        <v>164113.66939571034</v>
      </c>
      <c r="AS47" s="501">
        <v>347693.72359843971</v>
      </c>
      <c r="AT47" s="501">
        <v>496267.94577582786</v>
      </c>
      <c r="AU47" s="501">
        <v>642842.79563352792</v>
      </c>
      <c r="AV47" s="501">
        <v>759834.03359844023</v>
      </c>
      <c r="AW47" s="501">
        <v>874835.47295126738</v>
      </c>
      <c r="AX47" s="501">
        <v>979776.50425146194</v>
      </c>
      <c r="AY47" s="501">
        <v>1075241.4055633531</v>
      </c>
    </row>
    <row r="48" spans="1:51" x14ac:dyDescent="0.3">
      <c r="A48" s="576" t="s">
        <v>80</v>
      </c>
      <c r="B48" s="488" t="s">
        <v>820</v>
      </c>
      <c r="C48" s="487" t="s">
        <v>642</v>
      </c>
      <c r="D48" s="581" t="s">
        <v>797</v>
      </c>
      <c r="E48" s="581">
        <v>2016</v>
      </c>
      <c r="F48" s="581" t="s">
        <v>818</v>
      </c>
      <c r="G48" s="489">
        <v>0.438</v>
      </c>
      <c r="H48" s="490">
        <v>0.439</v>
      </c>
      <c r="I48" s="490">
        <v>0.441</v>
      </c>
      <c r="J48" s="490">
        <v>0.442</v>
      </c>
      <c r="K48" s="490">
        <v>0.44400000000000001</v>
      </c>
      <c r="L48" s="490">
        <v>0.45100000000000001</v>
      </c>
      <c r="M48" s="490">
        <v>0.45600000000000002</v>
      </c>
      <c r="N48" s="490">
        <v>0.46500000000000002</v>
      </c>
      <c r="O48" s="491">
        <v>0.47399999999999998</v>
      </c>
      <c r="P48" s="489">
        <v>0.33975700934579445</v>
      </c>
      <c r="Q48" s="490">
        <v>0.34053271028037385</v>
      </c>
      <c r="R48" s="490">
        <v>0.34208411214953277</v>
      </c>
      <c r="S48" s="490">
        <v>0.34285981308411217</v>
      </c>
      <c r="T48" s="490">
        <v>0.34441121495327109</v>
      </c>
      <c r="U48" s="490">
        <v>0.34984112149532715</v>
      </c>
      <c r="V48" s="490">
        <v>0.35371962616822433</v>
      </c>
      <c r="W48" s="490">
        <v>0.3607009345794393</v>
      </c>
      <c r="X48" s="491">
        <v>0.36768224299065422</v>
      </c>
      <c r="Y48" s="492">
        <v>1621466</v>
      </c>
      <c r="Z48" s="492">
        <v>1644871.9999999998</v>
      </c>
      <c r="AA48" s="492">
        <v>1666778</v>
      </c>
      <c r="AB48" s="492">
        <v>1686903.0000000002</v>
      </c>
      <c r="AC48" s="492">
        <v>1708442</v>
      </c>
      <c r="AD48" s="492">
        <v>1728110.0000000005</v>
      </c>
      <c r="AE48" s="492">
        <v>1746116</v>
      </c>
      <c r="AF48" s="492">
        <v>1762890</v>
      </c>
      <c r="AG48" s="492">
        <v>1778608.0000000002</v>
      </c>
      <c r="AH48" s="493">
        <v>2499937.8506355146</v>
      </c>
      <c r="AI48" s="494">
        <v>2574374.5071495334</v>
      </c>
      <c r="AJ48" s="494">
        <v>2656114.8254579445</v>
      </c>
      <c r="AK48" s="494">
        <v>2731493.8445794396</v>
      </c>
      <c r="AL48" s="494">
        <v>2821226.2134953276</v>
      </c>
      <c r="AM48" s="494">
        <v>2943844.1186822434</v>
      </c>
      <c r="AN48" s="494">
        <v>3053610.2433644864</v>
      </c>
      <c r="AO48" s="494">
        <v>3188511.8576635513</v>
      </c>
      <c r="AP48" s="495">
        <v>3319914.3796822424</v>
      </c>
      <c r="AQ48" s="494">
        <v>0</v>
      </c>
      <c r="AR48" s="494">
        <v>74436.656514018774</v>
      </c>
      <c r="AS48" s="494">
        <v>156176.97482242994</v>
      </c>
      <c r="AT48" s="494">
        <v>231555.99394392502</v>
      </c>
      <c r="AU48" s="494">
        <v>321288.36285981303</v>
      </c>
      <c r="AV48" s="494">
        <v>443906.2680467288</v>
      </c>
      <c r="AW48" s="494">
        <v>553672.39272897178</v>
      </c>
      <c r="AX48" s="494">
        <v>688574.00702803675</v>
      </c>
      <c r="AY48" s="494">
        <v>819976.52904672781</v>
      </c>
    </row>
    <row r="49" spans="1:51" x14ac:dyDescent="0.3">
      <c r="A49" s="575" t="s">
        <v>81</v>
      </c>
      <c r="B49" s="488" t="s">
        <v>819</v>
      </c>
      <c r="C49" s="487" t="s">
        <v>243</v>
      </c>
      <c r="D49" s="582" t="s">
        <v>915</v>
      </c>
      <c r="E49" s="582">
        <v>2011.5</v>
      </c>
      <c r="F49" s="582"/>
      <c r="G49" s="489">
        <v>0.77405081477039284</v>
      </c>
      <c r="H49" s="490">
        <v>0.77781573887218303</v>
      </c>
      <c r="I49" s="490">
        <v>0.77950956349702905</v>
      </c>
      <c r="J49" s="490">
        <v>0.77965863240746003</v>
      </c>
      <c r="K49" s="490">
        <v>0.78059405538226001</v>
      </c>
      <c r="L49" s="490">
        <v>0.78068568015728002</v>
      </c>
      <c r="M49" s="490">
        <v>0.78179490449665812</v>
      </c>
      <c r="N49" s="490">
        <v>0.78261544502749203</v>
      </c>
      <c r="O49" s="491">
        <v>0.782841533035467</v>
      </c>
      <c r="P49" s="489">
        <v>0.52589642285879956</v>
      </c>
      <c r="Q49" s="490">
        <v>0.52845434293288884</v>
      </c>
      <c r="R49" s="490">
        <v>0.52960514116752533</v>
      </c>
      <c r="S49" s="490">
        <v>0.52970641979841004</v>
      </c>
      <c r="T49" s="490">
        <v>0.53034195378005589</v>
      </c>
      <c r="U49" s="490">
        <v>0.53040420439785607</v>
      </c>
      <c r="V49" s="490">
        <v>0.53115782044100945</v>
      </c>
      <c r="W49" s="490">
        <v>0.53171530235529985</v>
      </c>
      <c r="X49" s="491">
        <v>0.53186890838784506</v>
      </c>
      <c r="Y49" s="492">
        <v>3502018</v>
      </c>
      <c r="Z49" s="492">
        <v>3640717</v>
      </c>
      <c r="AA49" s="492">
        <v>3782325</v>
      </c>
      <c r="AB49" s="492">
        <v>3930850</v>
      </c>
      <c r="AC49" s="492">
        <v>4088785</v>
      </c>
      <c r="AD49" s="492">
        <v>4265017</v>
      </c>
      <c r="AE49" s="492">
        <v>4458729</v>
      </c>
      <c r="AF49" s="492">
        <v>4668910</v>
      </c>
      <c r="AG49" s="492">
        <v>4893078</v>
      </c>
      <c r="AH49" s="493">
        <v>862820.38050605531</v>
      </c>
      <c r="AI49" s="494">
        <v>878817.98693436501</v>
      </c>
      <c r="AJ49" s="494">
        <v>891957.27151835791</v>
      </c>
      <c r="AK49" s="494">
        <v>902886.71137206908</v>
      </c>
      <c r="AL49" s="494">
        <v>915454.00625307357</v>
      </c>
      <c r="AM49" s="494">
        <v>926672.36792872066</v>
      </c>
      <c r="AN49" s="494">
        <v>938649.35249566135</v>
      </c>
      <c r="AO49" s="494">
        <v>949753.06335885089</v>
      </c>
      <c r="AP49" s="495">
        <v>959545.76136032806</v>
      </c>
      <c r="AQ49" s="494">
        <v>0</v>
      </c>
      <c r="AR49" s="494">
        <v>15997.606428309693</v>
      </c>
      <c r="AS49" s="494">
        <v>29136.8910123026</v>
      </c>
      <c r="AT49" s="494">
        <v>40066.33086601377</v>
      </c>
      <c r="AU49" s="494">
        <v>52633.625747018261</v>
      </c>
      <c r="AV49" s="494">
        <v>63851.987422665348</v>
      </c>
      <c r="AW49" s="494">
        <v>75828.971989606041</v>
      </c>
      <c r="AX49" s="494">
        <v>86932.68285279558</v>
      </c>
      <c r="AY49" s="494">
        <v>96725.380854272749</v>
      </c>
    </row>
    <row r="50" spans="1:51" x14ac:dyDescent="0.3">
      <c r="A50" s="576" t="s">
        <v>39</v>
      </c>
      <c r="B50" s="488" t="s">
        <v>819</v>
      </c>
      <c r="C50" s="487" t="s">
        <v>243</v>
      </c>
      <c r="D50" s="581" t="s">
        <v>832</v>
      </c>
      <c r="E50" s="581">
        <v>2017</v>
      </c>
      <c r="F50" s="581" t="s">
        <v>818</v>
      </c>
      <c r="G50" s="489">
        <v>0.122</v>
      </c>
      <c r="H50" s="490">
        <v>0.129</v>
      </c>
      <c r="I50" s="490">
        <v>0.13700000000000001</v>
      </c>
      <c r="J50" s="490">
        <v>0.14499999999999999</v>
      </c>
      <c r="K50" s="490">
        <v>0.155</v>
      </c>
      <c r="L50" s="490">
        <v>0.16900000000000001</v>
      </c>
      <c r="M50" s="490">
        <v>0.17699999999999999</v>
      </c>
      <c r="N50" s="490">
        <v>0.185</v>
      </c>
      <c r="O50" s="491">
        <v>0.191</v>
      </c>
      <c r="P50" s="489">
        <v>0.11</v>
      </c>
      <c r="Q50" s="490">
        <v>0.11631147540983607</v>
      </c>
      <c r="R50" s="490">
        <v>0.12352459016393444</v>
      </c>
      <c r="S50" s="490">
        <v>0.13291666666666666</v>
      </c>
      <c r="T50" s="490">
        <v>0.135625</v>
      </c>
      <c r="U50" s="490">
        <v>0.14192265193370165</v>
      </c>
      <c r="V50" s="490">
        <v>0.14864088397790051</v>
      </c>
      <c r="W50" s="490">
        <v>0.15535911602209942</v>
      </c>
      <c r="X50" s="491">
        <v>0.1603977900552486</v>
      </c>
      <c r="Y50" s="492">
        <v>38158796</v>
      </c>
      <c r="Z50" s="492">
        <v>39168093</v>
      </c>
      <c r="AA50" s="492">
        <v>40234803</v>
      </c>
      <c r="AB50" s="492">
        <v>41362596</v>
      </c>
      <c r="AC50" s="492">
        <v>42479202.000000007</v>
      </c>
      <c r="AD50" s="492">
        <v>43671554</v>
      </c>
      <c r="AE50" s="492">
        <v>44930015</v>
      </c>
      <c r="AF50" s="492">
        <v>46237637</v>
      </c>
      <c r="AG50" s="492">
        <v>47583893</v>
      </c>
      <c r="AH50" s="497">
        <v>409097.04000000004</v>
      </c>
      <c r="AI50" s="501">
        <v>449195.61590163951</v>
      </c>
      <c r="AJ50" s="494">
        <v>495836.22811475419</v>
      </c>
      <c r="AK50" s="494">
        <v>554938.51416666678</v>
      </c>
      <c r="AL50" s="494">
        <v>588420.45500000019</v>
      </c>
      <c r="AM50" s="494">
        <v>640479.18784530403</v>
      </c>
      <c r="AN50" s="494">
        <v>698249.02501657454</v>
      </c>
      <c r="AO50" s="494">
        <v>760070.70519337</v>
      </c>
      <c r="AP50" s="495">
        <v>817591.16411049699</v>
      </c>
      <c r="AQ50" s="494">
        <v>0</v>
      </c>
      <c r="AR50" s="501">
        <v>40098.575901639473</v>
      </c>
      <c r="AS50" s="494">
        <v>86739.188114754157</v>
      </c>
      <c r="AT50" s="494">
        <v>145841.47416666674</v>
      </c>
      <c r="AU50" s="494">
        <v>179323.41500000015</v>
      </c>
      <c r="AV50" s="494">
        <v>231382.14784530399</v>
      </c>
      <c r="AW50" s="494">
        <v>289151.9850165745</v>
      </c>
      <c r="AX50" s="494">
        <v>350973.66519336996</v>
      </c>
      <c r="AY50" s="494">
        <v>408494.12411049695</v>
      </c>
    </row>
    <row r="51" spans="1:51" x14ac:dyDescent="0.3">
      <c r="A51" s="576" t="s">
        <v>40</v>
      </c>
      <c r="B51" s="488" t="s">
        <v>819</v>
      </c>
      <c r="C51" s="487" t="s">
        <v>640</v>
      </c>
      <c r="D51" s="581" t="s">
        <v>795</v>
      </c>
      <c r="E51" s="581">
        <v>2018</v>
      </c>
      <c r="F51" s="581" t="s">
        <v>818</v>
      </c>
      <c r="G51" s="489">
        <v>9.9000000000000005E-2</v>
      </c>
      <c r="H51" s="490">
        <v>9.8000000000000004E-2</v>
      </c>
      <c r="I51" s="490">
        <v>0.10100000000000001</v>
      </c>
      <c r="J51" s="490">
        <v>0.105</v>
      </c>
      <c r="K51" s="490">
        <v>0.11</v>
      </c>
      <c r="L51" s="490">
        <v>0.115</v>
      </c>
      <c r="M51" s="490">
        <v>0.12</v>
      </c>
      <c r="N51" s="490">
        <v>0.125</v>
      </c>
      <c r="O51" s="491">
        <v>0.13100000000000001</v>
      </c>
      <c r="P51" s="490">
        <v>0.11213265306122448</v>
      </c>
      <c r="Q51" s="490">
        <v>0.11099999999999999</v>
      </c>
      <c r="R51" s="490">
        <v>0.11439795918367346</v>
      </c>
      <c r="S51" s="490">
        <v>0.11892857142857141</v>
      </c>
      <c r="T51" s="490">
        <v>0.12459183673469386</v>
      </c>
      <c r="U51" s="490">
        <v>0.13025510204081631</v>
      </c>
      <c r="V51" s="490">
        <v>0.13591836734693874</v>
      </c>
      <c r="W51" s="490">
        <v>0.1415816326530612</v>
      </c>
      <c r="X51" s="491">
        <v>0.14837755102040814</v>
      </c>
      <c r="Y51" s="492">
        <v>44775012</v>
      </c>
      <c r="Z51" s="492">
        <v>45829447.999999993</v>
      </c>
      <c r="AA51" s="492">
        <v>46848132.000000007</v>
      </c>
      <c r="AB51" s="492">
        <v>47810318</v>
      </c>
      <c r="AC51" s="492">
        <v>48734153.000000007</v>
      </c>
      <c r="AD51" s="492">
        <v>49619918.999999993</v>
      </c>
      <c r="AE51" s="492">
        <v>50487014.000000007</v>
      </c>
      <c r="AF51" s="492">
        <v>51373968.000000007</v>
      </c>
      <c r="AG51" s="492">
        <v>52304357</v>
      </c>
      <c r="AH51" s="497">
        <v>4276774.9338061204</v>
      </c>
      <c r="AI51" s="501">
        <v>4345544.9939999999</v>
      </c>
      <c r="AJ51" s="501">
        <v>4600560.8317346936</v>
      </c>
      <c r="AK51" s="494">
        <v>4916877.0107142832</v>
      </c>
      <c r="AL51" s="494">
        <v>5290132.633163264</v>
      </c>
      <c r="AM51" s="494">
        <v>5685982.3339285711</v>
      </c>
      <c r="AN51" s="494">
        <v>6104248.1448979573</v>
      </c>
      <c r="AO51" s="494">
        <v>6543454.2474489771</v>
      </c>
      <c r="AP51" s="495">
        <v>7056612.869938775</v>
      </c>
      <c r="AQ51" s="494">
        <v>0</v>
      </c>
      <c r="AR51" s="501">
        <v>68770.06019387953</v>
      </c>
      <c r="AS51" s="494">
        <v>323785.89792857319</v>
      </c>
      <c r="AT51" s="494">
        <v>640102.0769081628</v>
      </c>
      <c r="AU51" s="494">
        <v>1013357.6993571436</v>
      </c>
      <c r="AV51" s="494">
        <v>1409207.4001224507</v>
      </c>
      <c r="AW51" s="494">
        <v>1827473.2110918369</v>
      </c>
      <c r="AX51" s="494">
        <v>2266679.3136428567</v>
      </c>
      <c r="AY51" s="494">
        <v>2779837.9361326545</v>
      </c>
    </row>
    <row r="52" spans="1:51" x14ac:dyDescent="0.3">
      <c r="A52" s="575" t="s">
        <v>41</v>
      </c>
      <c r="B52" s="488" t="s">
        <v>820</v>
      </c>
      <c r="C52" s="487" t="s">
        <v>641</v>
      </c>
      <c r="D52" s="582" t="s">
        <v>797</v>
      </c>
      <c r="E52" s="582">
        <v>2017.5</v>
      </c>
      <c r="F52" s="582" t="s">
        <v>928</v>
      </c>
      <c r="G52" s="489">
        <v>0.254</v>
      </c>
      <c r="H52" s="490">
        <v>0.26</v>
      </c>
      <c r="I52" s="490">
        <v>0.25800000000000001</v>
      </c>
      <c r="J52" s="490">
        <v>0.25600000000000001</v>
      </c>
      <c r="K52" s="490">
        <v>0.254</v>
      </c>
      <c r="L52" s="490">
        <v>0.255</v>
      </c>
      <c r="M52" s="490">
        <v>0.26200000000000001</v>
      </c>
      <c r="N52" s="490">
        <v>0.27100000000000002</v>
      </c>
      <c r="O52" s="491">
        <v>0.28199999999999997</v>
      </c>
      <c r="P52" s="489">
        <v>0.16170129414402512</v>
      </c>
      <c r="Q52" s="490">
        <v>0.16597737573375637</v>
      </c>
      <c r="R52" s="490">
        <v>0.16520836915241</v>
      </c>
      <c r="S52" s="490">
        <v>0.16447563257697326</v>
      </c>
      <c r="T52" s="490">
        <v>0.16380199583797839</v>
      </c>
      <c r="U52" s="490">
        <v>0.16509362585014895</v>
      </c>
      <c r="V52" s="490">
        <v>0.17029107130731697</v>
      </c>
      <c r="W52" s="490">
        <v>0.1768669931244794</v>
      </c>
      <c r="X52" s="491">
        <v>0.18466236290373406</v>
      </c>
      <c r="Y52" s="492">
        <v>1827025</v>
      </c>
      <c r="Z52" s="492">
        <v>1873436</v>
      </c>
      <c r="AA52" s="492">
        <v>1920553</v>
      </c>
      <c r="AB52" s="492">
        <v>1967846</v>
      </c>
      <c r="AC52" s="492">
        <v>2015463</v>
      </c>
      <c r="AD52" s="492">
        <v>2063110.0000000002</v>
      </c>
      <c r="AE52" s="492">
        <v>2110838.9999999995</v>
      </c>
      <c r="AF52" s="492">
        <v>2158892</v>
      </c>
      <c r="AG52" s="492">
        <v>2207286</v>
      </c>
      <c r="AH52" s="497">
        <v>7480824.4856852759</v>
      </c>
      <c r="AI52" s="501">
        <v>7874024.7968909079</v>
      </c>
      <c r="AJ52" s="501">
        <v>8030438.1648414526</v>
      </c>
      <c r="AK52" s="494">
        <v>8184892.1879040003</v>
      </c>
      <c r="AL52" s="494">
        <v>8337307.3351425454</v>
      </c>
      <c r="AM52" s="494">
        <v>8588316.3594900053</v>
      </c>
      <c r="AN52" s="494">
        <v>9048518.0782659966</v>
      </c>
      <c r="AO52" s="494">
        <v>9596359.2876485009</v>
      </c>
      <c r="AP52" s="495">
        <v>10229465.401532702</v>
      </c>
      <c r="AQ52" s="494">
        <v>0</v>
      </c>
      <c r="AR52" s="501">
        <v>393200.31120563205</v>
      </c>
      <c r="AS52" s="494">
        <v>549613.67915617675</v>
      </c>
      <c r="AT52" s="494">
        <v>704067.70221872441</v>
      </c>
      <c r="AU52" s="494">
        <v>856482.84945726953</v>
      </c>
      <c r="AV52" s="494">
        <v>1107491.8738047294</v>
      </c>
      <c r="AW52" s="494">
        <v>1567693.5925807208</v>
      </c>
      <c r="AX52" s="494">
        <v>2115534.801963225</v>
      </c>
      <c r="AY52" s="494">
        <v>2748640.9158474263</v>
      </c>
    </row>
    <row r="53" spans="1:51" x14ac:dyDescent="0.3">
      <c r="A53" s="575" t="s">
        <v>82</v>
      </c>
      <c r="B53" s="488" t="s">
        <v>819</v>
      </c>
      <c r="C53" s="487" t="s">
        <v>641</v>
      </c>
      <c r="D53" s="582" t="s">
        <v>915</v>
      </c>
      <c r="E53" s="582">
        <v>2006</v>
      </c>
      <c r="F53" s="582"/>
      <c r="G53" s="489">
        <v>0.266435807487232</v>
      </c>
      <c r="H53" s="490">
        <v>0.26995111679303702</v>
      </c>
      <c r="I53" s="490">
        <v>0.27413425986284201</v>
      </c>
      <c r="J53" s="490">
        <v>0.27783284944887598</v>
      </c>
      <c r="K53" s="490">
        <v>0.28252756009362601</v>
      </c>
      <c r="L53" s="490">
        <v>0.28553399550633302</v>
      </c>
      <c r="M53" s="490">
        <v>0.28940959539563099</v>
      </c>
      <c r="N53" s="490">
        <v>0.295114015488394</v>
      </c>
      <c r="O53" s="491">
        <v>0.29846965629851602</v>
      </c>
      <c r="P53" s="489">
        <v>0.19626341374573877</v>
      </c>
      <c r="Q53" s="490">
        <v>0.19885288027141407</v>
      </c>
      <c r="R53" s="490">
        <v>0.20193429018703174</v>
      </c>
      <c r="S53" s="490">
        <v>0.20465876564341068</v>
      </c>
      <c r="T53" s="490">
        <v>0.20811700928707427</v>
      </c>
      <c r="U53" s="490">
        <v>0.21033162631947983</v>
      </c>
      <c r="V53" s="490">
        <v>0.2131864920815553</v>
      </c>
      <c r="W53" s="490">
        <v>0.21738851346675933</v>
      </c>
      <c r="X53" s="491">
        <v>0.21986036410466814</v>
      </c>
      <c r="Y53" s="492">
        <v>24990757</v>
      </c>
      <c r="Z53" s="492">
        <v>25449791</v>
      </c>
      <c r="AA53" s="492">
        <v>25890868.999999996</v>
      </c>
      <c r="AB53" s="492">
        <v>26308737.999999996</v>
      </c>
      <c r="AC53" s="492">
        <v>26721529</v>
      </c>
      <c r="AD53" s="492">
        <v>27111134</v>
      </c>
      <c r="AE53" s="492">
        <v>27487452</v>
      </c>
      <c r="AF53" s="492">
        <v>27865387.000000004</v>
      </c>
      <c r="AG53" s="492">
        <v>28252851.000000004</v>
      </c>
      <c r="AH53" s="497">
        <v>369009.76020280819</v>
      </c>
      <c r="AI53" s="501">
        <v>383076.55184702063</v>
      </c>
      <c r="AJ53" s="501">
        <v>398492.0798978337</v>
      </c>
      <c r="AK53" s="494">
        <v>413591.62494851818</v>
      </c>
      <c r="AL53" s="494">
        <v>430455.69440378086</v>
      </c>
      <c r="AM53" s="494">
        <v>445081.70279651985</v>
      </c>
      <c r="AN53" s="494">
        <v>461374.79517902847</v>
      </c>
      <c r="AO53" s="494">
        <v>481017.52024451958</v>
      </c>
      <c r="AP53" s="495">
        <v>497232.68169329199</v>
      </c>
      <c r="AQ53" s="494">
        <v>0</v>
      </c>
      <c r="AR53" s="501">
        <v>14066.791644212441</v>
      </c>
      <c r="AS53" s="494">
        <v>29482.319695025508</v>
      </c>
      <c r="AT53" s="494">
        <v>44581.864745709987</v>
      </c>
      <c r="AU53" s="494">
        <v>61445.934200972668</v>
      </c>
      <c r="AV53" s="494">
        <v>76071.942593711661</v>
      </c>
      <c r="AW53" s="494">
        <v>92365.034976220282</v>
      </c>
      <c r="AX53" s="494">
        <v>112007.76004171139</v>
      </c>
      <c r="AY53" s="494">
        <v>128222.9214904838</v>
      </c>
    </row>
    <row r="54" spans="1:51" x14ac:dyDescent="0.3">
      <c r="A54" s="573" t="s">
        <v>42</v>
      </c>
      <c r="B54" s="488" t="s">
        <v>819</v>
      </c>
      <c r="C54" s="487" t="s">
        <v>636</v>
      </c>
      <c r="D54" s="581" t="s">
        <v>797</v>
      </c>
      <c r="E54" s="581">
        <v>2017</v>
      </c>
      <c r="F54" s="581" t="s">
        <v>818</v>
      </c>
      <c r="G54" s="489">
        <v>0.373</v>
      </c>
      <c r="H54" s="490">
        <v>0.38200000000000001</v>
      </c>
      <c r="I54" s="490">
        <v>0.38700000000000001</v>
      </c>
      <c r="J54" s="490">
        <v>0.39200000000000002</v>
      </c>
      <c r="K54" s="490">
        <v>0.39600000000000002</v>
      </c>
      <c r="L54" s="490">
        <v>0.40100000000000002</v>
      </c>
      <c r="M54" s="490">
        <v>0.40799999999999997</v>
      </c>
      <c r="N54" s="490">
        <v>0.41499999999999998</v>
      </c>
      <c r="O54" s="491">
        <v>0.42199999999999999</v>
      </c>
      <c r="P54" s="489">
        <v>0.22989356435643565</v>
      </c>
      <c r="Q54" s="490">
        <v>0.23544059405940593</v>
      </c>
      <c r="R54" s="490">
        <v>0.23852227722772276</v>
      </c>
      <c r="S54" s="490">
        <v>0.2416039603960396</v>
      </c>
      <c r="T54" s="490">
        <v>0.24406930693069306</v>
      </c>
      <c r="U54" s="490">
        <v>0.2471509900990099</v>
      </c>
      <c r="V54" s="490">
        <v>0.25146534653465347</v>
      </c>
      <c r="W54" s="490">
        <v>0.25577970297029701</v>
      </c>
      <c r="X54" s="491">
        <v>0.2600940594059406</v>
      </c>
      <c r="Y54" s="492">
        <v>2639509.2230000002</v>
      </c>
      <c r="Z54" s="492">
        <v>2709192.2664872003</v>
      </c>
      <c r="AA54" s="492">
        <v>2780714.9423224623</v>
      </c>
      <c r="AB54" s="492">
        <v>2854125.8167997752</v>
      </c>
      <c r="AC54" s="492">
        <v>2929474.7383632893</v>
      </c>
      <c r="AD54" s="492">
        <v>3006812.8714560801</v>
      </c>
      <c r="AE54" s="492">
        <v>3086192.7312625204</v>
      </c>
      <c r="AF54" s="492">
        <v>3167668.219367851</v>
      </c>
      <c r="AG54" s="492">
        <v>3251294.6603591624</v>
      </c>
      <c r="AH54" s="497">
        <v>5758500.9012475265</v>
      </c>
      <c r="AI54" s="501">
        <v>6005113.8886336638</v>
      </c>
      <c r="AJ54" s="501">
        <v>6190627.4575618813</v>
      </c>
      <c r="AK54" s="494">
        <v>6377115.5151089113</v>
      </c>
      <c r="AL54" s="494">
        <v>6541551.9101584163</v>
      </c>
      <c r="AM54" s="494">
        <v>6727523.6014900999</v>
      </c>
      <c r="AN54" s="494">
        <v>6951333.5226534633</v>
      </c>
      <c r="AO54" s="494">
        <v>7176863.8563118801</v>
      </c>
      <c r="AP54" s="495">
        <v>7402471.2209554445</v>
      </c>
      <c r="AQ54" s="494">
        <v>0</v>
      </c>
      <c r="AR54" s="501">
        <v>246612.98738613725</v>
      </c>
      <c r="AS54" s="494">
        <v>432126.55631435476</v>
      </c>
      <c r="AT54" s="494">
        <v>618614.6138613848</v>
      </c>
      <c r="AU54" s="494">
        <v>783051.00891088974</v>
      </c>
      <c r="AV54" s="494">
        <v>969022.7002425734</v>
      </c>
      <c r="AW54" s="494">
        <v>1192832.6214059368</v>
      </c>
      <c r="AX54" s="494">
        <v>1418362.9550643535</v>
      </c>
      <c r="AY54" s="494">
        <v>1643970.319707918</v>
      </c>
    </row>
    <row r="55" spans="1:51" x14ac:dyDescent="0.3">
      <c r="A55" s="576" t="s">
        <v>43</v>
      </c>
      <c r="B55" s="488" t="s">
        <v>820</v>
      </c>
      <c r="C55" s="487" t="s">
        <v>637</v>
      </c>
      <c r="D55" s="581" t="s">
        <v>797</v>
      </c>
      <c r="E55" s="581">
        <v>2014.5</v>
      </c>
      <c r="F55" s="581" t="s">
        <v>818</v>
      </c>
      <c r="G55" s="489">
        <v>0.46400000000000002</v>
      </c>
      <c r="H55" s="490">
        <v>0.47</v>
      </c>
      <c r="I55" s="490">
        <v>0.47199999999999998</v>
      </c>
      <c r="J55" s="490">
        <v>0.47499999999999998</v>
      </c>
      <c r="K55" s="490">
        <v>0.48499999999999999</v>
      </c>
      <c r="L55" s="490">
        <v>0.496</v>
      </c>
      <c r="M55" s="490">
        <v>0.50800000000000001</v>
      </c>
      <c r="N55" s="490">
        <v>0.51900000000000002</v>
      </c>
      <c r="O55" s="491">
        <v>0.53</v>
      </c>
      <c r="P55" s="489">
        <v>0.27156210526315788</v>
      </c>
      <c r="Q55" s="490">
        <v>0.2750736842105263</v>
      </c>
      <c r="R55" s="490">
        <v>0.27624421052631576</v>
      </c>
      <c r="S55" s="490">
        <v>0.27799999999999997</v>
      </c>
      <c r="T55" s="490">
        <v>0.28385263157894736</v>
      </c>
      <c r="U55" s="490">
        <v>0.29029052631578944</v>
      </c>
      <c r="V55" s="490">
        <v>0.29731368421052629</v>
      </c>
      <c r="W55" s="490">
        <v>0.30375157894736843</v>
      </c>
      <c r="X55" s="491">
        <v>0.31018947368421051</v>
      </c>
      <c r="Y55" s="492">
        <v>43020</v>
      </c>
      <c r="Z55" s="492">
        <v>43999</v>
      </c>
      <c r="AA55" s="492">
        <v>45046</v>
      </c>
      <c r="AB55" s="492">
        <v>46188</v>
      </c>
      <c r="AC55" s="492">
        <v>47396</v>
      </c>
      <c r="AD55" s="492">
        <v>48697</v>
      </c>
      <c r="AE55" s="492">
        <v>50076</v>
      </c>
      <c r="AF55" s="492">
        <v>51514</v>
      </c>
      <c r="AG55" s="492">
        <v>52977.999999999993</v>
      </c>
      <c r="AH55" s="497">
        <v>717626.48906105256</v>
      </c>
      <c r="AI55" s="501">
        <v>744488.85183157877</v>
      </c>
      <c r="AJ55" s="501">
        <v>766447.57318736834</v>
      </c>
      <c r="AK55" s="494">
        <v>791618.06599999999</v>
      </c>
      <c r="AL55" s="494">
        <v>832446.09705263155</v>
      </c>
      <c r="AM55" s="494">
        <v>876756.34849684231</v>
      </c>
      <c r="AN55" s="494">
        <v>924810.26967578928</v>
      </c>
      <c r="AO55" s="494">
        <v>973228.56399157865</v>
      </c>
      <c r="AP55" s="495">
        <v>1023736.0007999999</v>
      </c>
      <c r="AQ55" s="494">
        <v>0</v>
      </c>
      <c r="AR55" s="501">
        <v>26862.362770526204</v>
      </c>
      <c r="AS55" s="494">
        <v>48821.084126315778</v>
      </c>
      <c r="AT55" s="494">
        <v>73991.57693894743</v>
      </c>
      <c r="AU55" s="494">
        <v>114819.60799157899</v>
      </c>
      <c r="AV55" s="494">
        <v>159129.85943578975</v>
      </c>
      <c r="AW55" s="494">
        <v>207183.78061473672</v>
      </c>
      <c r="AX55" s="494">
        <v>255602.07493052608</v>
      </c>
      <c r="AY55" s="494">
        <v>306109.51173894736</v>
      </c>
    </row>
    <row r="56" spans="1:51" x14ac:dyDescent="0.3">
      <c r="A56" s="575" t="s">
        <v>83</v>
      </c>
      <c r="B56" s="488" t="s">
        <v>819</v>
      </c>
      <c r="C56" s="487" t="s">
        <v>243</v>
      </c>
      <c r="D56" s="582" t="s">
        <v>794</v>
      </c>
      <c r="E56" s="582">
        <v>2014</v>
      </c>
      <c r="F56" s="582"/>
      <c r="G56" s="489">
        <v>0.36698535287997203</v>
      </c>
      <c r="H56" s="490">
        <v>0.37472507006045208</v>
      </c>
      <c r="I56" s="490">
        <v>0.38131194117526301</v>
      </c>
      <c r="J56" s="490">
        <v>0.388483536825252</v>
      </c>
      <c r="K56" s="490">
        <v>0.39638177910933403</v>
      </c>
      <c r="L56" s="490">
        <v>0.40478322245878501</v>
      </c>
      <c r="M56" s="490">
        <v>0.41227693797327303</v>
      </c>
      <c r="N56" s="490">
        <v>0.41901520864337599</v>
      </c>
      <c r="O56" s="491">
        <v>0.42574808523545299</v>
      </c>
      <c r="P56" s="489">
        <v>0.29339203345217013</v>
      </c>
      <c r="Q56" s="490">
        <v>0.29957966831036142</v>
      </c>
      <c r="R56" s="490">
        <v>0.30484564281123966</v>
      </c>
      <c r="S56" s="490">
        <v>0.31057908425334319</v>
      </c>
      <c r="T56" s="490">
        <v>0.31689345442163336</v>
      </c>
      <c r="U56" s="490">
        <v>0.32361011635073988</v>
      </c>
      <c r="V56" s="490">
        <v>0.32960108142783057</v>
      </c>
      <c r="W56" s="490">
        <v>0.33498809461061341</v>
      </c>
      <c r="X56" s="491">
        <v>0.34037079541550919</v>
      </c>
      <c r="Y56" s="492">
        <v>3348277</v>
      </c>
      <c r="Z56" s="492">
        <v>3447223</v>
      </c>
      <c r="AA56" s="492">
        <v>3548342</v>
      </c>
      <c r="AB56" s="492">
        <v>3651545</v>
      </c>
      <c r="AC56" s="492">
        <v>3755638.9999999995</v>
      </c>
      <c r="AD56" s="492">
        <v>3863350.9999999995</v>
      </c>
      <c r="AE56" s="492">
        <v>3974534</v>
      </c>
      <c r="AF56" s="492">
        <v>4088954.0000000005</v>
      </c>
      <c r="AG56" s="492">
        <v>4206668.9999999991</v>
      </c>
      <c r="AH56" s="497">
        <v>12947.097044210814</v>
      </c>
      <c r="AI56" s="501">
        <v>13435.249384714774</v>
      </c>
      <c r="AJ56" s="501">
        <v>13901.571003478151</v>
      </c>
      <c r="AK56" s="494">
        <v>14416.149353787432</v>
      </c>
      <c r="AL56" s="494">
        <v>14992.863115596318</v>
      </c>
      <c r="AM56" s="494">
        <v>15614.188113923201</v>
      </c>
      <c r="AN56" s="494">
        <v>16239.774883030637</v>
      </c>
      <c r="AO56" s="494">
        <v>16874.355289820433</v>
      </c>
      <c r="AP56" s="495">
        <v>17552.92191957781</v>
      </c>
      <c r="AQ56" s="494">
        <v>0</v>
      </c>
      <c r="AR56" s="501">
        <v>488.15234050396066</v>
      </c>
      <c r="AS56" s="494">
        <v>954.4739592673377</v>
      </c>
      <c r="AT56" s="494">
        <v>1469.0523095766184</v>
      </c>
      <c r="AU56" s="494">
        <v>2045.7660713855039</v>
      </c>
      <c r="AV56" s="494">
        <v>2667.0910697123873</v>
      </c>
      <c r="AW56" s="494">
        <v>3292.6778388198236</v>
      </c>
      <c r="AX56" s="494">
        <v>3927.2582456096188</v>
      </c>
      <c r="AY56" s="494">
        <v>4605.8248753669959</v>
      </c>
    </row>
    <row r="57" spans="1:51" x14ac:dyDescent="0.3">
      <c r="A57" s="576" t="s">
        <v>44</v>
      </c>
      <c r="B57" s="488" t="s">
        <v>819</v>
      </c>
      <c r="C57" s="487" t="s">
        <v>243</v>
      </c>
      <c r="D57" s="581" t="s">
        <v>797</v>
      </c>
      <c r="E57" s="581">
        <v>2017</v>
      </c>
      <c r="F57" s="581" t="s">
        <v>818</v>
      </c>
      <c r="G57" s="489">
        <v>0.14299999999999999</v>
      </c>
      <c r="H57" s="490">
        <v>0.16600000000000001</v>
      </c>
      <c r="I57" s="490">
        <v>0.192</v>
      </c>
      <c r="J57" s="490">
        <v>0.21299999999999999</v>
      </c>
      <c r="K57" s="490">
        <v>0.23400000000000001</v>
      </c>
      <c r="L57" s="490">
        <v>0.25700000000000001</v>
      </c>
      <c r="M57" s="490">
        <v>0.27300000000000002</v>
      </c>
      <c r="N57" s="490">
        <v>0.28499999999999998</v>
      </c>
      <c r="O57" s="491">
        <v>0.29499999999999998</v>
      </c>
      <c r="P57" s="489">
        <v>0.10276425855513306</v>
      </c>
      <c r="Q57" s="490">
        <v>0.11929277566539924</v>
      </c>
      <c r="R57" s="490">
        <v>0.13797718631178707</v>
      </c>
      <c r="S57" s="490">
        <v>0.15306844106463877</v>
      </c>
      <c r="T57" s="490">
        <v>0.16815969581749049</v>
      </c>
      <c r="U57" s="490">
        <v>0.18468821292775664</v>
      </c>
      <c r="V57" s="490">
        <v>0.19618631178707224</v>
      </c>
      <c r="W57" s="490">
        <v>0.20480988593155891</v>
      </c>
      <c r="X57" s="491">
        <v>0.21199619771863115</v>
      </c>
      <c r="Y57" s="492">
        <v>1627893</v>
      </c>
      <c r="Z57" s="492">
        <v>1674115</v>
      </c>
      <c r="AA57" s="492">
        <v>1721843</v>
      </c>
      <c r="AB57" s="492">
        <v>1770495</v>
      </c>
      <c r="AC57" s="492">
        <v>1819146</v>
      </c>
      <c r="AD57" s="492">
        <v>1868528.0000000002</v>
      </c>
      <c r="AE57" s="492">
        <v>1919052.0000000002</v>
      </c>
      <c r="AF57" s="492">
        <v>1971341</v>
      </c>
      <c r="AG57" s="492">
        <v>2025469</v>
      </c>
      <c r="AH57" s="493">
        <v>337674.51588593156</v>
      </c>
      <c r="AI57" s="494">
        <v>403120.70863117866</v>
      </c>
      <c r="AJ57" s="494">
        <v>479478.58713307994</v>
      </c>
      <c r="AK57" s="494">
        <v>546953.79692395439</v>
      </c>
      <c r="AL57" s="494">
        <v>617932.39838783268</v>
      </c>
      <c r="AM57" s="494">
        <v>698125.50800760463</v>
      </c>
      <c r="AN57" s="494">
        <v>762981.12246387836</v>
      </c>
      <c r="AO57" s="494">
        <v>819567.23954372609</v>
      </c>
      <c r="AP57" s="495">
        <v>872917.66368821287</v>
      </c>
      <c r="AQ57" s="494">
        <v>0</v>
      </c>
      <c r="AR57" s="501">
        <v>65446.192745247099</v>
      </c>
      <c r="AS57" s="494">
        <v>141804.07124714839</v>
      </c>
      <c r="AT57" s="494">
        <v>209279.28103802283</v>
      </c>
      <c r="AU57" s="494">
        <v>280257.88250190113</v>
      </c>
      <c r="AV57" s="494">
        <v>360450.99212167307</v>
      </c>
      <c r="AW57" s="494">
        <v>425306.6065779468</v>
      </c>
      <c r="AX57" s="494">
        <v>481892.72365779453</v>
      </c>
      <c r="AY57" s="494">
        <v>535243.14780228131</v>
      </c>
    </row>
    <row r="58" spans="1:51" ht="17.25" customHeight="1" x14ac:dyDescent="0.3">
      <c r="A58" s="576" t="s">
        <v>45</v>
      </c>
      <c r="B58" s="488" t="s">
        <v>819</v>
      </c>
      <c r="C58" s="487" t="s">
        <v>641</v>
      </c>
      <c r="D58" s="581" t="s">
        <v>794</v>
      </c>
      <c r="E58" s="581">
        <v>2017</v>
      </c>
      <c r="F58" s="581" t="s">
        <v>929</v>
      </c>
      <c r="G58" s="489">
        <v>0.13400000000000001</v>
      </c>
      <c r="H58" s="490">
        <v>0.152</v>
      </c>
      <c r="I58" s="490">
        <v>0.16500000000000001</v>
      </c>
      <c r="J58" s="490">
        <v>0.17699999999999999</v>
      </c>
      <c r="K58" s="490">
        <v>0.186</v>
      </c>
      <c r="L58" s="490">
        <v>0.19600000000000001</v>
      </c>
      <c r="M58" s="490">
        <v>0.20300000000000001</v>
      </c>
      <c r="N58" s="490">
        <v>0.21</v>
      </c>
      <c r="O58" s="491">
        <v>0.218</v>
      </c>
      <c r="P58" s="489">
        <v>0.17952564102564103</v>
      </c>
      <c r="Q58" s="490">
        <v>0.20364102564102562</v>
      </c>
      <c r="R58" s="490">
        <v>0.22105769230769229</v>
      </c>
      <c r="S58" s="490">
        <v>0.23713461538461536</v>
      </c>
      <c r="T58" s="490">
        <v>0.24919230769230769</v>
      </c>
      <c r="U58" s="490">
        <v>0.26258974358974357</v>
      </c>
      <c r="V58" s="490">
        <v>0.27196794871794872</v>
      </c>
      <c r="W58" s="490">
        <v>0.2813461538461538</v>
      </c>
      <c r="X58" s="491">
        <v>0.29206410256410253</v>
      </c>
      <c r="Y58" s="492">
        <v>135518.99999999997</v>
      </c>
      <c r="Z58" s="492">
        <v>138574</v>
      </c>
      <c r="AA58" s="492">
        <v>141710.99999999997</v>
      </c>
      <c r="AB58" s="492">
        <v>144917</v>
      </c>
      <c r="AC58" s="492">
        <v>148247</v>
      </c>
      <c r="AD58" s="492">
        <v>151624</v>
      </c>
      <c r="AE58" s="492">
        <v>155042.00000000003</v>
      </c>
      <c r="AF58" s="492">
        <v>158478</v>
      </c>
      <c r="AG58" s="492">
        <v>161903</v>
      </c>
      <c r="AH58" s="493">
        <v>284771.65044871793</v>
      </c>
      <c r="AI58" s="494">
        <v>331984.96748717944</v>
      </c>
      <c r="AJ58" s="494">
        <v>370396.75326923077</v>
      </c>
      <c r="AK58" s="494">
        <v>408322.09423076914</v>
      </c>
      <c r="AL58" s="494">
        <v>440678.90350000007</v>
      </c>
      <c r="AM58" s="494">
        <v>476798.90246153838</v>
      </c>
      <c r="AN58" s="494">
        <v>507011.08100641007</v>
      </c>
      <c r="AO58" s="494">
        <v>538623.70692307677</v>
      </c>
      <c r="AP58" s="495">
        <v>574373.26410256408</v>
      </c>
      <c r="AQ58" s="494">
        <v>0</v>
      </c>
      <c r="AR58" s="494">
        <v>47213.317038461508</v>
      </c>
      <c r="AS58" s="494">
        <v>85625.102820512839</v>
      </c>
      <c r="AT58" s="494">
        <v>123550.44378205121</v>
      </c>
      <c r="AU58" s="494">
        <v>155907.25305128214</v>
      </c>
      <c r="AV58" s="494">
        <v>192027.25201282045</v>
      </c>
      <c r="AW58" s="494">
        <v>222239.43055769213</v>
      </c>
      <c r="AX58" s="494">
        <v>253852.05647435883</v>
      </c>
      <c r="AY58" s="494">
        <v>289601.61365384614</v>
      </c>
    </row>
    <row r="59" spans="1:51" x14ac:dyDescent="0.3">
      <c r="A59" s="575" t="s">
        <v>46</v>
      </c>
      <c r="B59" s="488" t="s">
        <v>819</v>
      </c>
      <c r="C59" s="487" t="s">
        <v>636</v>
      </c>
      <c r="D59" s="582" t="s">
        <v>915</v>
      </c>
      <c r="E59" s="582">
        <v>2015</v>
      </c>
      <c r="F59" s="582"/>
      <c r="G59" s="489">
        <v>0.25598770531464898</v>
      </c>
      <c r="H59" s="490">
        <v>0.25378209254683698</v>
      </c>
      <c r="I59" s="490">
        <v>0.25191982929544199</v>
      </c>
      <c r="J59" s="490">
        <v>0.25152317513047201</v>
      </c>
      <c r="K59" s="490">
        <v>0.25376687665984199</v>
      </c>
      <c r="L59" s="490">
        <v>0.25573442845623301</v>
      </c>
      <c r="M59" s="490">
        <v>0.25800656472587402</v>
      </c>
      <c r="N59" s="490">
        <v>0.262366258848937</v>
      </c>
      <c r="O59" s="491">
        <v>0.26624464341564802</v>
      </c>
      <c r="P59" s="489">
        <v>0.1854067330674001</v>
      </c>
      <c r="Q59" s="490">
        <v>0.18380925221499306</v>
      </c>
      <c r="R59" s="490">
        <v>0.18246045249381806</v>
      </c>
      <c r="S59" s="490">
        <v>0.18217316388050647</v>
      </c>
      <c r="T59" s="490">
        <v>0.183798231654865</v>
      </c>
      <c r="U59" s="490">
        <v>0.18522328974607824</v>
      </c>
      <c r="V59" s="490">
        <v>0.18686895222943964</v>
      </c>
      <c r="W59" s="490">
        <v>0.19002659077124656</v>
      </c>
      <c r="X59" s="491">
        <v>0.1928356265068068</v>
      </c>
      <c r="Y59" s="492">
        <v>2813620.9999999995</v>
      </c>
      <c r="Z59" s="492">
        <v>2915517.0000000005</v>
      </c>
      <c r="AA59" s="492">
        <v>3020017.0000000005</v>
      </c>
      <c r="AB59" s="492">
        <v>3125428</v>
      </c>
      <c r="AC59" s="492">
        <v>3226190</v>
      </c>
      <c r="AD59" s="492">
        <v>3328573</v>
      </c>
      <c r="AE59" s="492">
        <v>3433679</v>
      </c>
      <c r="AF59" s="492">
        <v>3543949</v>
      </c>
      <c r="AG59" s="492">
        <v>3660656</v>
      </c>
      <c r="AH59" s="493">
        <v>25237.008284935295</v>
      </c>
      <c r="AI59" s="494">
        <v>25616.025007185861</v>
      </c>
      <c r="AJ59" s="494">
        <v>26039.843477655249</v>
      </c>
      <c r="AK59" s="494">
        <v>26636.266983624373</v>
      </c>
      <c r="AL59" s="494">
        <v>27507.610945930399</v>
      </c>
      <c r="AM59" s="494">
        <v>28404.547152430332</v>
      </c>
      <c r="AN59" s="494">
        <v>29368.511401330965</v>
      </c>
      <c r="AO59" s="494">
        <v>30572.998136004328</v>
      </c>
      <c r="AP59" s="495">
        <v>31713.361464056434</v>
      </c>
      <c r="AQ59" s="494">
        <v>0</v>
      </c>
      <c r="AR59" s="494">
        <v>379.01672225056609</v>
      </c>
      <c r="AS59" s="494">
        <v>802.83519271995465</v>
      </c>
      <c r="AT59" s="494">
        <v>1399.2586986890783</v>
      </c>
      <c r="AU59" s="494">
        <v>2270.6026609951041</v>
      </c>
      <c r="AV59" s="494">
        <v>3167.5388674950373</v>
      </c>
      <c r="AW59" s="494">
        <v>4131.5031163956701</v>
      </c>
      <c r="AX59" s="494">
        <v>5335.9898510690327</v>
      </c>
      <c r="AY59" s="494">
        <v>6476.353179121139</v>
      </c>
    </row>
    <row r="60" spans="1:51" x14ac:dyDescent="0.3">
      <c r="A60" s="575" t="s">
        <v>84</v>
      </c>
      <c r="B60" s="488" t="s">
        <v>644</v>
      </c>
      <c r="C60" s="487" t="s">
        <v>644</v>
      </c>
      <c r="D60" s="582" t="s">
        <v>794</v>
      </c>
      <c r="E60" s="582">
        <v>2006</v>
      </c>
      <c r="F60" s="582"/>
      <c r="G60" s="489">
        <v>2.0853306575184097E-2</v>
      </c>
      <c r="H60" s="490">
        <v>2.2264325648078499E-2</v>
      </c>
      <c r="I60" s="490">
        <v>2.37453819346739E-2</v>
      </c>
      <c r="J60" s="490">
        <v>2.53819416620534E-2</v>
      </c>
      <c r="K60" s="490">
        <v>2.7003097205320899E-2</v>
      </c>
      <c r="L60" s="490">
        <v>2.8948110433326998E-2</v>
      </c>
      <c r="M60" s="490">
        <v>3.0873899098881295E-2</v>
      </c>
      <c r="N60" s="490">
        <v>3.2721348963028397E-2</v>
      </c>
      <c r="O60" s="491">
        <v>3.4623510409465298E-2</v>
      </c>
      <c r="P60" s="489">
        <v>1.2386864105659354E-2</v>
      </c>
      <c r="Q60" s="490">
        <v>1.3135952132366313E-2</v>
      </c>
      <c r="R60" s="490">
        <v>1.3914793813718905E-2</v>
      </c>
      <c r="S60" s="490">
        <v>1.4797671988977131E-2</v>
      </c>
      <c r="T60" s="490">
        <v>1.5661796379086122E-2</v>
      </c>
      <c r="U60" s="490">
        <v>1.6703059720029681E-2</v>
      </c>
      <c r="V60" s="490">
        <v>1.7721618082757861E-2</v>
      </c>
      <c r="W60" s="490">
        <v>1.8683890257889219E-2</v>
      </c>
      <c r="X60" s="491">
        <v>1.9666153912576288E-2</v>
      </c>
      <c r="Y60" s="492">
        <v>14481078</v>
      </c>
      <c r="Z60" s="492">
        <v>14663855</v>
      </c>
      <c r="AA60" s="492">
        <v>14845934.000000002</v>
      </c>
      <c r="AB60" s="492">
        <v>15022803.000000002</v>
      </c>
      <c r="AC60" s="492">
        <v>15200070</v>
      </c>
      <c r="AD60" s="492">
        <v>15376607.999999998</v>
      </c>
      <c r="AE60" s="492">
        <v>15550549</v>
      </c>
      <c r="AF60" s="492">
        <v>15720082</v>
      </c>
      <c r="AG60" s="492">
        <v>15885105</v>
      </c>
      <c r="AH60" s="497">
        <v>34004.976751740825</v>
      </c>
      <c r="AI60" s="501">
        <v>37294.89908875143</v>
      </c>
      <c r="AJ60" s="494">
        <v>40869.21048424286</v>
      </c>
      <c r="AK60" s="494">
        <v>44944.850750744343</v>
      </c>
      <c r="AL60" s="494">
        <v>49155.95749743592</v>
      </c>
      <c r="AM60" s="494">
        <v>54139.861313368288</v>
      </c>
      <c r="AN60" s="494">
        <v>59311.756974840886</v>
      </c>
      <c r="AO60" s="494">
        <v>64602.166311288071</v>
      </c>
      <c r="AP60" s="495">
        <v>70302.016354368126</v>
      </c>
      <c r="AQ60" s="494">
        <v>0</v>
      </c>
      <c r="AR60" s="501">
        <v>3289.9223370106047</v>
      </c>
      <c r="AS60" s="494">
        <v>6864.2337325020344</v>
      </c>
      <c r="AT60" s="494">
        <v>10939.873999003517</v>
      </c>
      <c r="AU60" s="494">
        <v>15150.980745695095</v>
      </c>
      <c r="AV60" s="494">
        <v>20134.884561627463</v>
      </c>
      <c r="AW60" s="494">
        <v>25306.780223100061</v>
      </c>
      <c r="AX60" s="494">
        <v>30597.189559547245</v>
      </c>
      <c r="AY60" s="494">
        <v>36297.039602627301</v>
      </c>
    </row>
    <row r="61" spans="1:51" x14ac:dyDescent="0.3">
      <c r="A61" s="575" t="s">
        <v>53</v>
      </c>
      <c r="B61" s="488" t="s">
        <v>819</v>
      </c>
      <c r="C61" s="487" t="s">
        <v>638</v>
      </c>
      <c r="D61" s="582" t="s">
        <v>797</v>
      </c>
      <c r="E61" s="582">
        <v>2016</v>
      </c>
      <c r="F61" s="582"/>
      <c r="G61" s="489">
        <v>0.56602317734804797</v>
      </c>
      <c r="H61" s="490">
        <v>0.55871152005447799</v>
      </c>
      <c r="I61" s="490">
        <v>0.55228745471283802</v>
      </c>
      <c r="J61" s="490">
        <v>0.54615777672613397</v>
      </c>
      <c r="K61" s="490">
        <v>0.542402577321351</v>
      </c>
      <c r="L61" s="490">
        <v>0.54529379554531998</v>
      </c>
      <c r="M61" s="490">
        <v>0.54987756036318203</v>
      </c>
      <c r="N61" s="490">
        <v>0.55664702912027897</v>
      </c>
      <c r="O61" s="491">
        <v>0.56201029896001897</v>
      </c>
      <c r="P61" s="489">
        <v>0.50208352212910179</v>
      </c>
      <c r="Q61" s="490">
        <v>0.49559781130758324</v>
      </c>
      <c r="R61" s="490">
        <v>0.48989942742120257</v>
      </c>
      <c r="S61" s="490">
        <v>0.48446217602188546</v>
      </c>
      <c r="T61" s="490">
        <v>0.48113117506838354</v>
      </c>
      <c r="U61" s="490">
        <v>0.48369579271520047</v>
      </c>
      <c r="V61" s="490">
        <v>0.48776176187771142</v>
      </c>
      <c r="W61" s="490">
        <v>0.49376653138632148</v>
      </c>
      <c r="X61" s="491">
        <v>0.49852395037379454</v>
      </c>
      <c r="Y61" s="492">
        <v>2537368</v>
      </c>
      <c r="Z61" s="492">
        <v>2633343.9999999995</v>
      </c>
      <c r="AA61" s="492">
        <v>2729162</v>
      </c>
      <c r="AB61" s="492">
        <v>2825000.9999999995</v>
      </c>
      <c r="AC61" s="492">
        <v>2916316.0000000005</v>
      </c>
      <c r="AD61" s="492">
        <v>3006819</v>
      </c>
      <c r="AE61" s="492">
        <v>3097535</v>
      </c>
      <c r="AF61" s="492">
        <v>3190029</v>
      </c>
      <c r="AG61" s="492">
        <v>3285232</v>
      </c>
      <c r="AH61" s="493">
        <v>7344719.2638786454</v>
      </c>
      <c r="AI61" s="494">
        <v>7343169.1902018981</v>
      </c>
      <c r="AJ61" s="494">
        <v>7347890.3047205955</v>
      </c>
      <c r="AK61" s="494">
        <v>7349122.6174147455</v>
      </c>
      <c r="AL61" s="494">
        <v>7390952.3570292825</v>
      </c>
      <c r="AM61" s="494">
        <v>7518773.4563727714</v>
      </c>
      <c r="AN61" s="494">
        <v>7668798.2067519398</v>
      </c>
      <c r="AO61" s="494">
        <v>7852488.146370736</v>
      </c>
      <c r="AP61" s="495">
        <v>8021671.1157284705</v>
      </c>
      <c r="AQ61" s="494">
        <v>0</v>
      </c>
      <c r="AR61" s="494">
        <v>-1550.0736767472699</v>
      </c>
      <c r="AS61" s="494">
        <v>3171.0408419501036</v>
      </c>
      <c r="AT61" s="494">
        <v>4403.3535361001268</v>
      </c>
      <c r="AU61" s="494">
        <v>46233.093150637113</v>
      </c>
      <c r="AV61" s="494">
        <v>174054.19249412604</v>
      </c>
      <c r="AW61" s="494">
        <v>324078.94287329447</v>
      </c>
      <c r="AX61" s="494">
        <v>507768.88249209058</v>
      </c>
      <c r="AY61" s="494">
        <v>676951.85184982512</v>
      </c>
    </row>
    <row r="62" spans="1:51" x14ac:dyDescent="0.3">
      <c r="A62" s="575" t="s">
        <v>85</v>
      </c>
      <c r="B62" s="488" t="s">
        <v>820</v>
      </c>
      <c r="C62" s="487" t="s">
        <v>640</v>
      </c>
      <c r="D62" s="582" t="s">
        <v>831</v>
      </c>
      <c r="E62" s="582">
        <v>2015</v>
      </c>
      <c r="F62" s="582"/>
      <c r="G62" s="489">
        <v>3.5346066546623603E-2</v>
      </c>
      <c r="H62" s="490">
        <v>3.6673590236335901E-2</v>
      </c>
      <c r="I62" s="490">
        <v>3.8357459758286097E-2</v>
      </c>
      <c r="J62" s="490">
        <v>3.9939423820314603E-2</v>
      </c>
      <c r="K62" s="490">
        <v>4.202449835271669E-2</v>
      </c>
      <c r="L62" s="490">
        <v>4.44805178279922E-2</v>
      </c>
      <c r="M62" s="490">
        <v>4.7216920854584996E-2</v>
      </c>
      <c r="N62" s="490">
        <v>4.9909063553414797E-2</v>
      </c>
      <c r="O62" s="491">
        <v>5.2781045048964803E-2</v>
      </c>
      <c r="P62" s="489">
        <v>2.7287169763736217E-2</v>
      </c>
      <c r="Q62" s="490">
        <v>2.8312018292179369E-2</v>
      </c>
      <c r="R62" s="490">
        <v>2.9611965867529177E-2</v>
      </c>
      <c r="S62" s="490">
        <v>3.0833242409397315E-2</v>
      </c>
      <c r="T62" s="490">
        <v>3.2442920325344474E-2</v>
      </c>
      <c r="U62" s="490">
        <v>3.433896780424809E-2</v>
      </c>
      <c r="V62" s="490">
        <v>3.6451471435455449E-2</v>
      </c>
      <c r="W62" s="490">
        <v>3.8529806085628539E-2</v>
      </c>
      <c r="X62" s="491">
        <v>4.0746976319380283E-2</v>
      </c>
      <c r="Y62" s="492">
        <v>5343358</v>
      </c>
      <c r="Z62" s="492">
        <v>5340378.9999999991</v>
      </c>
      <c r="AA62" s="492">
        <v>5336589.9999999991</v>
      </c>
      <c r="AB62" s="492">
        <v>5332493</v>
      </c>
      <c r="AC62" s="492">
        <v>5333625</v>
      </c>
      <c r="AD62" s="492">
        <v>5331169</v>
      </c>
      <c r="AE62" s="492">
        <v>5327706</v>
      </c>
      <c r="AF62" s="492">
        <v>5325932</v>
      </c>
      <c r="AG62" s="492">
        <v>5326581</v>
      </c>
      <c r="AH62" s="493">
        <v>64384.213493384406</v>
      </c>
      <c r="AI62" s="494">
        <v>68652.510803864338</v>
      </c>
      <c r="AJ62" s="494">
        <v>73508.625621690953</v>
      </c>
      <c r="AK62" s="494">
        <v>78091.969715128784</v>
      </c>
      <c r="AL62" s="494">
        <v>83314.165582652102</v>
      </c>
      <c r="AM62" s="494">
        <v>89097.259423614247</v>
      </c>
      <c r="AN62" s="494">
        <v>95475.662363202428</v>
      </c>
      <c r="AO62" s="494">
        <v>102106.10526625035</v>
      </c>
      <c r="AP62" s="495">
        <v>109687.03003599768</v>
      </c>
      <c r="AQ62" s="494">
        <v>0</v>
      </c>
      <c r="AR62" s="494">
        <v>4268.2973104799312</v>
      </c>
      <c r="AS62" s="494">
        <v>9124.4121283065469</v>
      </c>
      <c r="AT62" s="494">
        <v>13707.756221744377</v>
      </c>
      <c r="AU62" s="494">
        <v>18929.952089267696</v>
      </c>
      <c r="AV62" s="494">
        <v>24713.04593022984</v>
      </c>
      <c r="AW62" s="494">
        <v>31091.448869818021</v>
      </c>
      <c r="AX62" s="494">
        <v>37721.891772865943</v>
      </c>
      <c r="AY62" s="494">
        <v>45302.816542613276</v>
      </c>
    </row>
    <row r="63" spans="1:51" x14ac:dyDescent="0.3">
      <c r="A63" s="575" t="s">
        <v>86</v>
      </c>
      <c r="B63" s="488" t="s">
        <v>820</v>
      </c>
      <c r="C63" s="487" t="s">
        <v>638</v>
      </c>
      <c r="D63" s="582" t="s">
        <v>915</v>
      </c>
      <c r="E63" s="582">
        <v>2016</v>
      </c>
      <c r="F63" s="582"/>
      <c r="G63" s="489">
        <v>0.53896028268405505</v>
      </c>
      <c r="H63" s="490">
        <v>0.53715145909211903</v>
      </c>
      <c r="I63" s="490">
        <v>0.53532528052665496</v>
      </c>
      <c r="J63" s="490">
        <v>0.53392384514584001</v>
      </c>
      <c r="K63" s="490">
        <v>0.53406106682019405</v>
      </c>
      <c r="L63" s="490">
        <v>0.53528690742097196</v>
      </c>
      <c r="M63" s="490">
        <v>0.53678148613813204</v>
      </c>
      <c r="N63" s="490">
        <v>0.53949501115229404</v>
      </c>
      <c r="O63" s="491">
        <v>0.54272431212230998</v>
      </c>
      <c r="P63" s="489">
        <v>0.40599548917384437</v>
      </c>
      <c r="Q63" s="490">
        <v>0.40463291340967111</v>
      </c>
      <c r="R63" s="490">
        <v>0.40325726424993702</v>
      </c>
      <c r="S63" s="490">
        <v>0.40220157153702324</v>
      </c>
      <c r="T63" s="490">
        <v>0.4023049397862144</v>
      </c>
      <c r="U63" s="490">
        <v>0.40322835802379486</v>
      </c>
      <c r="V63" s="490">
        <v>0.40435421504309205</v>
      </c>
      <c r="W63" s="490">
        <v>0.40639829686304307</v>
      </c>
      <c r="X63" s="491">
        <v>0.40883090956036827</v>
      </c>
      <c r="Y63" s="492">
        <v>1049302</v>
      </c>
      <c r="Z63" s="492">
        <v>1084871</v>
      </c>
      <c r="AA63" s="492">
        <v>1120065.9999999998</v>
      </c>
      <c r="AB63" s="492">
        <v>1154570</v>
      </c>
      <c r="AC63" s="492">
        <v>1188793.0000000002</v>
      </c>
      <c r="AD63" s="492">
        <v>1222373</v>
      </c>
      <c r="AE63" s="492">
        <v>1255677</v>
      </c>
      <c r="AF63" s="492">
        <v>1289438.9999999998</v>
      </c>
      <c r="AG63" s="492">
        <v>1324122.9999999998</v>
      </c>
      <c r="AH63" s="493">
        <v>2171825.3678632476</v>
      </c>
      <c r="AI63" s="494">
        <v>2163309.5812407094</v>
      </c>
      <c r="AJ63" s="494">
        <v>2154465.6489030393</v>
      </c>
      <c r="AK63" s="494">
        <v>2147400.8458184656</v>
      </c>
      <c r="AL63" s="494">
        <v>2147441.4113131454</v>
      </c>
      <c r="AM63" s="494">
        <v>2150990.2240660083</v>
      </c>
      <c r="AN63" s="494">
        <v>2155342.2117790747</v>
      </c>
      <c r="AO63" s="494">
        <v>2164810.169297698</v>
      </c>
      <c r="AP63" s="495">
        <v>2176681.1754449308</v>
      </c>
      <c r="AQ63" s="494">
        <v>0</v>
      </c>
      <c r="AR63" s="494">
        <v>-8515.7866225382313</v>
      </c>
      <c r="AS63" s="494">
        <v>-17359.718960208353</v>
      </c>
      <c r="AT63" s="494">
        <v>-24424.522044782061</v>
      </c>
      <c r="AU63" s="494">
        <v>-24383.956550102215</v>
      </c>
      <c r="AV63" s="494">
        <v>-20835.143797239289</v>
      </c>
      <c r="AW63" s="494">
        <v>-16483.156084172893</v>
      </c>
      <c r="AX63" s="494">
        <v>-7015.1985655496828</v>
      </c>
      <c r="AY63" s="494">
        <v>4855.8075816831551</v>
      </c>
    </row>
    <row r="64" spans="1:51" x14ac:dyDescent="0.3">
      <c r="A64" s="575" t="s">
        <v>117</v>
      </c>
      <c r="B64" s="488" t="s">
        <v>820</v>
      </c>
      <c r="C64" s="487" t="s">
        <v>638</v>
      </c>
      <c r="D64" s="582" t="s">
        <v>794</v>
      </c>
      <c r="E64" s="582">
        <v>2014</v>
      </c>
      <c r="F64" s="582"/>
      <c r="G64" s="489">
        <v>0.428185208736786</v>
      </c>
      <c r="H64" s="490">
        <v>0.43549274857958198</v>
      </c>
      <c r="I64" s="490">
        <v>0.44222634194939692</v>
      </c>
      <c r="J64" s="490">
        <v>0.44812800468109498</v>
      </c>
      <c r="K64" s="490">
        <v>0.45103008407403899</v>
      </c>
      <c r="L64" s="490">
        <v>0.45687840287021397</v>
      </c>
      <c r="M64" s="490">
        <v>0.45951040983366798</v>
      </c>
      <c r="N64" s="490">
        <v>0.46330482379280302</v>
      </c>
      <c r="O64" s="491">
        <v>0.467446070258344</v>
      </c>
      <c r="P64" s="489">
        <v>0.25648294003333483</v>
      </c>
      <c r="Q64" s="490">
        <v>0.25998917090201046</v>
      </c>
      <c r="R64" s="490">
        <v>0.26312467345989116</v>
      </c>
      <c r="S64" s="490">
        <v>0.26663616278525148</v>
      </c>
      <c r="T64" s="490">
        <v>0.26836290002405316</v>
      </c>
      <c r="U64" s="490">
        <v>0.2722995281106475</v>
      </c>
      <c r="V64" s="490">
        <v>0.27432771467069977</v>
      </c>
      <c r="W64" s="490">
        <v>0.27705628462809617</v>
      </c>
      <c r="X64" s="491">
        <v>0.28000019608474802</v>
      </c>
      <c r="Y64" s="492">
        <v>8514818.0000000019</v>
      </c>
      <c r="Z64" s="492">
        <v>8751810.0000000019</v>
      </c>
      <c r="AA64" s="492">
        <v>8999400.0000000019</v>
      </c>
      <c r="AB64" s="492">
        <v>9255776</v>
      </c>
      <c r="AC64" s="492">
        <v>9515304</v>
      </c>
      <c r="AD64" s="492">
        <v>9784106</v>
      </c>
      <c r="AE64" s="492">
        <v>10061523</v>
      </c>
      <c r="AF64" s="492">
        <v>10346988</v>
      </c>
      <c r="AG64" s="492">
        <v>10639815.999999998</v>
      </c>
      <c r="AH64" s="493">
        <v>265962.54949696682</v>
      </c>
      <c r="AI64" s="494">
        <v>277057.71996089839</v>
      </c>
      <c r="AJ64" s="494">
        <v>287942.32953595457</v>
      </c>
      <c r="AK64" s="494">
        <v>299549.73071946291</v>
      </c>
      <c r="AL64" s="494">
        <v>309271.06705211982</v>
      </c>
      <c r="AM64" s="494">
        <v>322051.37489174394</v>
      </c>
      <c r="AN64" s="494">
        <v>332961.14876584179</v>
      </c>
      <c r="AO64" s="494">
        <v>344946.43366964959</v>
      </c>
      <c r="AP64" s="495">
        <v>357430.33030923991</v>
      </c>
      <c r="AQ64" s="494">
        <v>0</v>
      </c>
      <c r="AR64" s="494">
        <v>11095.170463931572</v>
      </c>
      <c r="AS64" s="494">
        <v>21979.780038987752</v>
      </c>
      <c r="AT64" s="494">
        <v>33587.181222496089</v>
      </c>
      <c r="AU64" s="494">
        <v>43308.517555152997</v>
      </c>
      <c r="AV64" s="494">
        <v>56088.825394777115</v>
      </c>
      <c r="AW64" s="494">
        <v>66998.599268874968</v>
      </c>
      <c r="AX64" s="494">
        <v>78983.884172682767</v>
      </c>
      <c r="AY64" s="494">
        <v>91467.780812273093</v>
      </c>
    </row>
    <row r="65" spans="1:51" x14ac:dyDescent="0.3">
      <c r="A65" s="575" t="s">
        <v>87</v>
      </c>
      <c r="B65" s="488" t="s">
        <v>820</v>
      </c>
      <c r="C65" s="487" t="s">
        <v>639</v>
      </c>
      <c r="D65" s="582" t="s">
        <v>794</v>
      </c>
      <c r="E65" s="582">
        <v>2014</v>
      </c>
      <c r="F65" s="582"/>
      <c r="G65" s="489">
        <v>0.101878085181673</v>
      </c>
      <c r="H65" s="490">
        <v>0.10706060446104</v>
      </c>
      <c r="I65" s="490">
        <v>0.112456064634446</v>
      </c>
      <c r="J65" s="490">
        <v>0.11776968665294402</v>
      </c>
      <c r="K65" s="490">
        <v>0.12245392275025599</v>
      </c>
      <c r="L65" s="490">
        <v>0.127810058939787</v>
      </c>
      <c r="M65" s="490">
        <v>0.13297848564438899</v>
      </c>
      <c r="N65" s="490">
        <v>0.138734872498221</v>
      </c>
      <c r="O65" s="491">
        <v>0.143825866089479</v>
      </c>
      <c r="P65" s="489">
        <v>6.4896340260725702E-2</v>
      </c>
      <c r="Q65" s="490">
        <v>6.7876423228299357E-2</v>
      </c>
      <c r="R65" s="490">
        <v>7.0959776784335432E-2</v>
      </c>
      <c r="S65" s="490">
        <v>7.3959363218048843E-2</v>
      </c>
      <c r="T65" s="490">
        <v>7.6533701718909997E-2</v>
      </c>
      <c r="U65" s="490">
        <v>7.9497856660547511E-2</v>
      </c>
      <c r="V65" s="490">
        <v>8.2313682613876782E-2</v>
      </c>
      <c r="W65" s="490">
        <v>8.5460681458904134E-2</v>
      </c>
      <c r="X65" s="491">
        <v>8.8165255912850626E-2</v>
      </c>
      <c r="Y65" s="492">
        <v>2106878</v>
      </c>
      <c r="Z65" s="492">
        <v>2150325</v>
      </c>
      <c r="AA65" s="492">
        <v>2191043</v>
      </c>
      <c r="AB65" s="492">
        <v>2227926</v>
      </c>
      <c r="AC65" s="492">
        <v>2262819</v>
      </c>
      <c r="AD65" s="492">
        <v>2295600</v>
      </c>
      <c r="AE65" s="492">
        <v>2327229</v>
      </c>
      <c r="AF65" s="492">
        <v>2359788</v>
      </c>
      <c r="AG65" s="492">
        <v>2394728</v>
      </c>
      <c r="AH65" s="493">
        <v>555562.25343577133</v>
      </c>
      <c r="AI65" s="494">
        <v>597445.56219856197</v>
      </c>
      <c r="AJ65" s="494">
        <v>642422.41787448083</v>
      </c>
      <c r="AK65" s="494">
        <v>688795.08731035073</v>
      </c>
      <c r="AL65" s="494">
        <v>732865.29822380131</v>
      </c>
      <c r="AM65" s="494">
        <v>782820.95938637748</v>
      </c>
      <c r="AN65" s="494">
        <v>833568.85070483736</v>
      </c>
      <c r="AO65" s="494">
        <v>890019.58446857473</v>
      </c>
      <c r="AP65" s="495">
        <v>944204.13305881131</v>
      </c>
      <c r="AQ65" s="494">
        <v>0</v>
      </c>
      <c r="AR65" s="501">
        <v>41883.308762790635</v>
      </c>
      <c r="AS65" s="494">
        <v>86860.1644387095</v>
      </c>
      <c r="AT65" s="494">
        <v>133232.8338745794</v>
      </c>
      <c r="AU65" s="494">
        <v>177303.04478802998</v>
      </c>
      <c r="AV65" s="494">
        <v>227258.70595060615</v>
      </c>
      <c r="AW65" s="494">
        <v>278006.59726906603</v>
      </c>
      <c r="AX65" s="494">
        <v>334457.3310328034</v>
      </c>
      <c r="AY65" s="494">
        <v>388641.87962303997</v>
      </c>
    </row>
    <row r="66" spans="1:51" x14ac:dyDescent="0.3">
      <c r="A66" s="575" t="s">
        <v>88</v>
      </c>
      <c r="B66" s="488" t="s">
        <v>819</v>
      </c>
      <c r="C66" s="487" t="s">
        <v>636</v>
      </c>
      <c r="D66" s="582" t="s">
        <v>797</v>
      </c>
      <c r="E66" s="582">
        <v>2017</v>
      </c>
      <c r="F66" s="582"/>
      <c r="G66" s="489">
        <v>0.25957896262921598</v>
      </c>
      <c r="H66" s="490">
        <v>0.259167054300384</v>
      </c>
      <c r="I66" s="490">
        <v>0.26043046309768098</v>
      </c>
      <c r="J66" s="490">
        <v>0.26467562342548501</v>
      </c>
      <c r="K66" s="490">
        <v>0.26840367397075998</v>
      </c>
      <c r="L66" s="490">
        <v>0.273151612811603</v>
      </c>
      <c r="M66" s="490">
        <v>0.27905877298304199</v>
      </c>
      <c r="N66" s="490">
        <v>0.28587656005201401</v>
      </c>
      <c r="O66" s="491">
        <v>0.29339221150803901</v>
      </c>
      <c r="P66" s="489">
        <v>0.18869762228027875</v>
      </c>
      <c r="Q66" s="490">
        <v>0.18839819076448577</v>
      </c>
      <c r="R66" s="490">
        <v>0.18931660970569428</v>
      </c>
      <c r="S66" s="490">
        <v>0.19240257496243743</v>
      </c>
      <c r="T66" s="490">
        <v>0.19511263384590299</v>
      </c>
      <c r="U66" s="490">
        <v>0.19856408754201396</v>
      </c>
      <c r="V66" s="490">
        <v>0.20285822242678697</v>
      </c>
      <c r="W66" s="490">
        <v>0.20781432594186994</v>
      </c>
      <c r="X66" s="491">
        <v>0.21327773308886966</v>
      </c>
      <c r="Y66" s="492">
        <v>11388109</v>
      </c>
      <c r="Z66" s="492">
        <v>11736736.000000002</v>
      </c>
      <c r="AA66" s="492">
        <v>12106525.000000002</v>
      </c>
      <c r="AB66" s="492">
        <v>12505739</v>
      </c>
      <c r="AC66" s="492">
        <v>12922261</v>
      </c>
      <c r="AD66" s="492">
        <v>13370081</v>
      </c>
      <c r="AE66" s="492">
        <v>13842766.000000002</v>
      </c>
      <c r="AF66" s="492">
        <v>14328739.999999998</v>
      </c>
      <c r="AG66" s="492">
        <v>14821715.999999998</v>
      </c>
      <c r="AH66" s="493">
        <v>393071.29953149171</v>
      </c>
      <c r="AI66" s="494">
        <v>399494.21875589527</v>
      </c>
      <c r="AJ66" s="494">
        <v>408093.53431413055</v>
      </c>
      <c r="AK66" s="494">
        <v>421037.8256340762</v>
      </c>
      <c r="AL66" s="494">
        <v>433154.53472848318</v>
      </c>
      <c r="AM66" s="494">
        <v>447081.73684332252</v>
      </c>
      <c r="AN66" s="494">
        <v>463131.61040524999</v>
      </c>
      <c r="AO66" s="494">
        <v>481185.13570238434</v>
      </c>
      <c r="AP66" s="495">
        <v>501197.98064871575</v>
      </c>
      <c r="AQ66" s="494">
        <v>0</v>
      </c>
      <c r="AR66" s="494">
        <v>6422.9192244035657</v>
      </c>
      <c r="AS66" s="494">
        <v>15022.234782638843</v>
      </c>
      <c r="AT66" s="494">
        <v>27966.526102584496</v>
      </c>
      <c r="AU66" s="494">
        <v>40083.235196991474</v>
      </c>
      <c r="AV66" s="494">
        <v>54010.437311830814</v>
      </c>
      <c r="AW66" s="494">
        <v>70060.310873758281</v>
      </c>
      <c r="AX66" s="494">
        <v>88113.836170892639</v>
      </c>
      <c r="AY66" s="494">
        <v>108126.68111722404</v>
      </c>
    </row>
    <row r="67" spans="1:51" s="504" customFormat="1" x14ac:dyDescent="0.3">
      <c r="A67" s="573" t="s">
        <v>210</v>
      </c>
      <c r="B67" s="488" t="s">
        <v>820</v>
      </c>
      <c r="C67" s="487" t="s">
        <v>641</v>
      </c>
      <c r="D67" s="581" t="s">
        <v>797</v>
      </c>
      <c r="E67" s="581">
        <v>2015.5</v>
      </c>
      <c r="F67" s="583" t="s">
        <v>818</v>
      </c>
      <c r="G67" s="489">
        <v>0.29399999999999998</v>
      </c>
      <c r="H67" s="490">
        <v>0.30399999999999999</v>
      </c>
      <c r="I67" s="490">
        <v>0.313</v>
      </c>
      <c r="J67" s="490">
        <v>0.32400000000000001</v>
      </c>
      <c r="K67" s="490">
        <v>0.34</v>
      </c>
      <c r="L67" s="490">
        <v>0.35599999999999998</v>
      </c>
      <c r="M67" s="490">
        <v>0.379</v>
      </c>
      <c r="N67" s="490">
        <v>0.39500000000000002</v>
      </c>
      <c r="O67" s="491">
        <v>0.40799999999999997</v>
      </c>
      <c r="P67" s="489">
        <v>0.2482056074766355</v>
      </c>
      <c r="Q67" s="490">
        <v>0.25664797507788162</v>
      </c>
      <c r="R67" s="490">
        <v>0.2642461059190031</v>
      </c>
      <c r="S67" s="490">
        <v>0.27353271028037385</v>
      </c>
      <c r="T67" s="490">
        <v>0.28704049844236762</v>
      </c>
      <c r="U67" s="490">
        <v>0.30054828660436134</v>
      </c>
      <c r="V67" s="490">
        <v>0.31996573208722739</v>
      </c>
      <c r="W67" s="490">
        <v>0.33347352024922117</v>
      </c>
      <c r="X67" s="491">
        <v>0.34444859813084111</v>
      </c>
      <c r="Y67" s="492">
        <v>251851.99999999997</v>
      </c>
      <c r="Z67" s="492">
        <v>260267.99999999997</v>
      </c>
      <c r="AA67" s="492">
        <v>268605</v>
      </c>
      <c r="AB67" s="492">
        <v>276080</v>
      </c>
      <c r="AC67" s="492">
        <v>283166.00000000006</v>
      </c>
      <c r="AD67" s="492">
        <v>289616.00000000006</v>
      </c>
      <c r="AE67" s="492">
        <v>295693</v>
      </c>
      <c r="AF67" s="492">
        <v>301897</v>
      </c>
      <c r="AG67" s="492">
        <v>308542</v>
      </c>
      <c r="AH67" s="493">
        <v>2715978.9387663556</v>
      </c>
      <c r="AI67" s="494">
        <v>2894310.581632399</v>
      </c>
      <c r="AJ67" s="494">
        <v>3072973.4574143295</v>
      </c>
      <c r="AK67" s="494">
        <v>3282194.4856822444</v>
      </c>
      <c r="AL67" s="494">
        <v>3556378.3861682247</v>
      </c>
      <c r="AM67" s="494">
        <v>3845425.4631651081</v>
      </c>
      <c r="AN67" s="494">
        <v>4228636.0785887847</v>
      </c>
      <c r="AO67" s="494">
        <v>4553661.9530685358</v>
      </c>
      <c r="AP67" s="495">
        <v>4861042.8968224302</v>
      </c>
      <c r="AQ67" s="494">
        <v>0</v>
      </c>
      <c r="AR67" s="494">
        <v>178331.64286604337</v>
      </c>
      <c r="AS67" s="494">
        <v>356994.51864797389</v>
      </c>
      <c r="AT67" s="494">
        <v>566215.54691588879</v>
      </c>
      <c r="AU67" s="494">
        <v>840399.44740186911</v>
      </c>
      <c r="AV67" s="494">
        <v>1129446.5243987525</v>
      </c>
      <c r="AW67" s="494">
        <v>1512657.139822429</v>
      </c>
      <c r="AX67" s="494">
        <v>1837683.0143021801</v>
      </c>
      <c r="AY67" s="494">
        <v>2145063.9580560746</v>
      </c>
    </row>
    <row r="68" spans="1:51" x14ac:dyDescent="0.3">
      <c r="A68" s="578" t="s">
        <v>89</v>
      </c>
      <c r="B68" s="488" t="s">
        <v>819</v>
      </c>
      <c r="C68" s="487" t="s">
        <v>243</v>
      </c>
      <c r="D68" s="582" t="s">
        <v>797</v>
      </c>
      <c r="E68" s="582">
        <v>2016</v>
      </c>
      <c r="F68" s="584"/>
      <c r="G68" s="489">
        <v>0.220874875888146</v>
      </c>
      <c r="H68" s="490">
        <v>0.22532845675341404</v>
      </c>
      <c r="I68" s="490">
        <v>0.22925395326860301</v>
      </c>
      <c r="J68" s="490">
        <v>0.23394501820509897</v>
      </c>
      <c r="K68" s="490">
        <v>0.239688391015031</v>
      </c>
      <c r="L68" s="490">
        <v>0.24755887141855901</v>
      </c>
      <c r="M68" s="490">
        <v>0.25646973912565302</v>
      </c>
      <c r="N68" s="490">
        <v>0.26617220771713701</v>
      </c>
      <c r="O68" s="491">
        <v>0.27652220824122198</v>
      </c>
      <c r="P68" s="489">
        <v>0.13564100262010625</v>
      </c>
      <c r="Q68" s="490">
        <v>0.1383759817406858</v>
      </c>
      <c r="R68" s="490">
        <v>0.14078666009856119</v>
      </c>
      <c r="S68" s="490">
        <v>0.14366748005956287</v>
      </c>
      <c r="T68" s="490">
        <v>0.14719453058184478</v>
      </c>
      <c r="U68" s="490">
        <v>0.15202785464708188</v>
      </c>
      <c r="V68" s="490">
        <v>0.15750008875766244</v>
      </c>
      <c r="W68" s="490">
        <v>0.16345845121218375</v>
      </c>
      <c r="X68" s="491">
        <v>0.16981446813153883</v>
      </c>
      <c r="Y68" s="492">
        <v>1652428</v>
      </c>
      <c r="Z68" s="492">
        <v>1697433.9999999998</v>
      </c>
      <c r="AA68" s="492">
        <v>1744280.0000000002</v>
      </c>
      <c r="AB68" s="492">
        <v>1793022</v>
      </c>
      <c r="AC68" s="492">
        <v>1843046.0000000002</v>
      </c>
      <c r="AD68" s="492">
        <v>1894720.9999999998</v>
      </c>
      <c r="AE68" s="492">
        <v>1948166.0000000002</v>
      </c>
      <c r="AF68" s="492">
        <v>2003401.9999999998</v>
      </c>
      <c r="AG68" s="492">
        <v>2060263</v>
      </c>
      <c r="AH68" s="493">
        <v>35363.779639103639</v>
      </c>
      <c r="AI68" s="494">
        <v>37049.338855178175</v>
      </c>
      <c r="AJ68" s="494">
        <v>38724.637940050146</v>
      </c>
      <c r="AK68" s="494">
        <v>40631.605708005394</v>
      </c>
      <c r="AL68" s="494">
        <v>42862.752916372039</v>
      </c>
      <c r="AM68" s="494">
        <v>45563.052093439721</v>
      </c>
      <c r="AN68" s="494">
        <v>48546.252357774305</v>
      </c>
      <c r="AO68" s="494">
        <v>51760.099327045245</v>
      </c>
      <c r="AP68" s="495">
        <v>55166.267746147962</v>
      </c>
      <c r="AQ68" s="494">
        <v>0</v>
      </c>
      <c r="AR68" s="494">
        <v>1685.5592160745364</v>
      </c>
      <c r="AS68" s="494">
        <v>3360.8583009465074</v>
      </c>
      <c r="AT68" s="494">
        <v>5267.8260689017552</v>
      </c>
      <c r="AU68" s="494">
        <v>7498.9732772684001</v>
      </c>
      <c r="AV68" s="494">
        <v>10199.272454336082</v>
      </c>
      <c r="AW68" s="494">
        <v>13182.472718670666</v>
      </c>
      <c r="AX68" s="494">
        <v>16396.319687941606</v>
      </c>
      <c r="AY68" s="494">
        <v>19802.488107044323</v>
      </c>
    </row>
    <row r="69" spans="1:51" ht="14.25" customHeight="1" x14ac:dyDescent="0.3">
      <c r="A69" s="573" t="s">
        <v>90</v>
      </c>
      <c r="B69" s="488" t="s">
        <v>819</v>
      </c>
      <c r="C69" s="487" t="s">
        <v>636</v>
      </c>
      <c r="D69" s="581" t="s">
        <v>797</v>
      </c>
      <c r="E69" s="581">
        <v>2013.5</v>
      </c>
      <c r="F69" s="581" t="s">
        <v>818</v>
      </c>
      <c r="G69" s="489">
        <v>0.155</v>
      </c>
      <c r="H69" s="490">
        <v>0.16300000000000001</v>
      </c>
      <c r="I69" s="490">
        <v>0.17199999999999999</v>
      </c>
      <c r="J69" s="490">
        <v>0.182</v>
      </c>
      <c r="K69" s="490">
        <v>0.189</v>
      </c>
      <c r="L69" s="490">
        <v>0.19500000000000001</v>
      </c>
      <c r="M69" s="490">
        <v>0.20200000000000001</v>
      </c>
      <c r="N69" s="490">
        <v>0.20899999999999999</v>
      </c>
      <c r="O69" s="491">
        <v>0.215</v>
      </c>
      <c r="P69" s="489">
        <v>0.15052023121387281</v>
      </c>
      <c r="Q69" s="490">
        <v>0.15828901734104045</v>
      </c>
      <c r="R69" s="490">
        <v>0.16702890173410403</v>
      </c>
      <c r="S69" s="490">
        <v>0.17673988439306357</v>
      </c>
      <c r="T69" s="490">
        <v>0.18353757225433526</v>
      </c>
      <c r="U69" s="490">
        <v>0.18936416184971097</v>
      </c>
      <c r="V69" s="490">
        <v>0.19616184971098266</v>
      </c>
      <c r="W69" s="490">
        <v>0.20295953757225432</v>
      </c>
      <c r="X69" s="491">
        <v>0.20878612716763004</v>
      </c>
      <c r="Y69" s="492">
        <v>8066897</v>
      </c>
      <c r="Z69" s="492">
        <v>8383661</v>
      </c>
      <c r="AA69" s="492">
        <v>8714430</v>
      </c>
      <c r="AB69" s="492">
        <v>9059232</v>
      </c>
      <c r="AC69" s="492">
        <v>9407843</v>
      </c>
      <c r="AD69" s="492">
        <v>9770828</v>
      </c>
      <c r="AE69" s="492">
        <v>10147778</v>
      </c>
      <c r="AF69" s="492">
        <v>10538015.000000002</v>
      </c>
      <c r="AG69" s="492">
        <v>10940859</v>
      </c>
      <c r="AH69" s="493">
        <v>245686.34635838147</v>
      </c>
      <c r="AI69" s="494">
        <v>265553.25336416182</v>
      </c>
      <c r="AJ69" s="494">
        <v>288104.14390751446</v>
      </c>
      <c r="AK69" s="494">
        <v>313504.21151445078</v>
      </c>
      <c r="AL69" s="494">
        <v>334745.00115606945</v>
      </c>
      <c r="AM69" s="494">
        <v>355137.90450867056</v>
      </c>
      <c r="AN69" s="494">
        <v>378329.70922543353</v>
      </c>
      <c r="AO69" s="494">
        <v>402588.50913294801</v>
      </c>
      <c r="AP69" s="495">
        <v>425937.89687861264</v>
      </c>
      <c r="AQ69" s="494">
        <v>0</v>
      </c>
      <c r="AR69" s="494">
        <v>19866.907005780347</v>
      </c>
      <c r="AS69" s="494">
        <v>42417.797549132985</v>
      </c>
      <c r="AT69" s="494">
        <v>67817.865156069311</v>
      </c>
      <c r="AU69" s="494">
        <v>89058.654797687981</v>
      </c>
      <c r="AV69" s="494">
        <v>109451.55815028909</v>
      </c>
      <c r="AW69" s="494">
        <v>132643.36286705206</v>
      </c>
      <c r="AX69" s="494">
        <v>156902.16277456653</v>
      </c>
      <c r="AY69" s="494">
        <v>180251.55052023116</v>
      </c>
    </row>
    <row r="70" spans="1:51" x14ac:dyDescent="0.3">
      <c r="A70" s="573" t="s">
        <v>47</v>
      </c>
      <c r="B70" s="488" t="s">
        <v>820</v>
      </c>
      <c r="C70" s="487" t="s">
        <v>639</v>
      </c>
      <c r="D70" s="581" t="s">
        <v>933</v>
      </c>
      <c r="E70" s="581">
        <v>2018</v>
      </c>
      <c r="F70" s="581" t="s">
        <v>928</v>
      </c>
      <c r="G70" s="489">
        <v>0.27100000000000002</v>
      </c>
      <c r="H70" s="490">
        <v>0.28299999999999997</v>
      </c>
      <c r="I70" s="490">
        <v>0.29699999999999999</v>
      </c>
      <c r="J70" s="490">
        <v>0.312</v>
      </c>
      <c r="K70" s="490">
        <v>0.32900000000000001</v>
      </c>
      <c r="L70" s="490">
        <v>0.34300000000000003</v>
      </c>
      <c r="M70" s="490">
        <v>0.35799999999999998</v>
      </c>
      <c r="N70" s="490">
        <v>0.372</v>
      </c>
      <c r="O70" s="491">
        <v>0.38500000000000001</v>
      </c>
      <c r="P70" s="489">
        <v>0.21259482758620693</v>
      </c>
      <c r="Q70" s="490">
        <v>0.22200862068965518</v>
      </c>
      <c r="R70" s="490">
        <v>0.23299137931034483</v>
      </c>
      <c r="S70" s="490">
        <v>0.2447586206896552</v>
      </c>
      <c r="T70" s="490">
        <v>0.25809482758620694</v>
      </c>
      <c r="U70" s="490">
        <v>0.26907758620689659</v>
      </c>
      <c r="V70" s="490">
        <v>0.28084482758620694</v>
      </c>
      <c r="W70" s="490">
        <v>0.29182758620689658</v>
      </c>
      <c r="X70" s="491">
        <v>0.30202586206896553</v>
      </c>
      <c r="Y70" s="492">
        <v>8353776</v>
      </c>
      <c r="Z70" s="492">
        <v>8452279</v>
      </c>
      <c r="AA70" s="492">
        <v>8540050.0000000019</v>
      </c>
      <c r="AB70" s="492">
        <v>8617110.9999999981</v>
      </c>
      <c r="AC70" s="492">
        <v>8697686.9999999981</v>
      </c>
      <c r="AD70" s="492">
        <v>8767563</v>
      </c>
      <c r="AE70" s="492">
        <v>8831507</v>
      </c>
      <c r="AF70" s="492">
        <v>8897545</v>
      </c>
      <c r="AG70" s="492">
        <v>8969851.9999999981</v>
      </c>
      <c r="AH70" s="493">
        <v>1683098.3683620694</v>
      </c>
      <c r="AI70" s="494">
        <v>1824731.4791034486</v>
      </c>
      <c r="AJ70" s="494">
        <v>1990590.2740862074</v>
      </c>
      <c r="AK70" s="494">
        <v>2176556.664413793</v>
      </c>
      <c r="AL70" s="494">
        <v>2391883.7489568982</v>
      </c>
      <c r="AM70" s="494">
        <v>2602003.1302155182</v>
      </c>
      <c r="AN70" s="494">
        <v>2833748.7438448276</v>
      </c>
      <c r="AO70" s="494">
        <v>3068723.7803793107</v>
      </c>
      <c r="AP70" s="495">
        <v>3304006.7836637925</v>
      </c>
      <c r="AQ70" s="494">
        <v>0</v>
      </c>
      <c r="AR70" s="494">
        <v>141633.11074137921</v>
      </c>
      <c r="AS70" s="494">
        <v>307491.90572413802</v>
      </c>
      <c r="AT70" s="494">
        <v>493458.29605172365</v>
      </c>
      <c r="AU70" s="494">
        <v>708785.38059482886</v>
      </c>
      <c r="AV70" s="494">
        <v>918904.76185344881</v>
      </c>
      <c r="AW70" s="494">
        <v>1150650.3754827583</v>
      </c>
      <c r="AX70" s="494">
        <v>1385625.4120172414</v>
      </c>
      <c r="AY70" s="494">
        <v>1620908.4153017232</v>
      </c>
    </row>
    <row r="71" spans="1:51" x14ac:dyDescent="0.3">
      <c r="A71" s="575" t="s">
        <v>91</v>
      </c>
      <c r="B71" s="488" t="s">
        <v>819</v>
      </c>
      <c r="C71" s="487" t="s">
        <v>641</v>
      </c>
      <c r="D71" s="582" t="s">
        <v>794</v>
      </c>
      <c r="E71" s="582">
        <v>2006</v>
      </c>
      <c r="F71" s="582"/>
      <c r="G71" s="489">
        <v>0.63642724086567404</v>
      </c>
      <c r="H71" s="490">
        <v>0.63958627152708403</v>
      </c>
      <c r="I71" s="490">
        <v>0.64103071367416897</v>
      </c>
      <c r="J71" s="490">
        <v>0.64407019152960598</v>
      </c>
      <c r="K71" s="490">
        <v>0.64556585846639802</v>
      </c>
      <c r="L71" s="490">
        <v>0.64796005943313706</v>
      </c>
      <c r="M71" s="490">
        <v>0.64907620627916596</v>
      </c>
      <c r="N71" s="490">
        <v>0.65024912856205186</v>
      </c>
      <c r="O71" s="491">
        <v>0.65209021607672601</v>
      </c>
      <c r="P71" s="489">
        <v>0.45572622109920857</v>
      </c>
      <c r="Q71" s="490">
        <v>0.45798830702705584</v>
      </c>
      <c r="R71" s="490">
        <v>0.45902262818589257</v>
      </c>
      <c r="S71" s="490">
        <v>0.46119910597978603</v>
      </c>
      <c r="T71" s="490">
        <v>0.46227010765501308</v>
      </c>
      <c r="U71" s="490">
        <v>0.46398452226372772</v>
      </c>
      <c r="V71" s="490">
        <v>0.4647837611266662</v>
      </c>
      <c r="W71" s="490">
        <v>0.46562365515586518</v>
      </c>
      <c r="X71" s="491">
        <v>0.46694200201769043</v>
      </c>
      <c r="Y71" s="492">
        <v>25806062</v>
      </c>
      <c r="Z71" s="492">
        <v>25873970.999999996</v>
      </c>
      <c r="AA71" s="492">
        <v>25914884</v>
      </c>
      <c r="AB71" s="492">
        <v>25941551.000000004</v>
      </c>
      <c r="AC71" s="492">
        <v>25966605</v>
      </c>
      <c r="AD71" s="492">
        <v>25978568.000000004</v>
      </c>
      <c r="AE71" s="492">
        <v>25981171.000000004</v>
      </c>
      <c r="AF71" s="492">
        <v>25974922.000000004</v>
      </c>
      <c r="AG71" s="492">
        <v>25960127.000000004</v>
      </c>
      <c r="AH71" s="493">
        <v>3796403.1313772388</v>
      </c>
      <c r="AI71" s="494">
        <v>3859156.4892565282</v>
      </c>
      <c r="AJ71" s="494">
        <v>3907363.1051286962</v>
      </c>
      <c r="AK71" s="494">
        <v>3961558.7322408254</v>
      </c>
      <c r="AL71" s="494">
        <v>4006774.234191021</v>
      </c>
      <c r="AM71" s="494">
        <v>4053990.5257557579</v>
      </c>
      <c r="AN71" s="494">
        <v>4091175.8610242377</v>
      </c>
      <c r="AO71" s="494">
        <v>4129701.8723299168</v>
      </c>
      <c r="AP71" s="495">
        <v>4175262.3035716126</v>
      </c>
      <c r="AQ71" s="494">
        <v>0</v>
      </c>
      <c r="AR71" s="494">
        <v>62753.357879289426</v>
      </c>
      <c r="AS71" s="494">
        <v>110959.97375145741</v>
      </c>
      <c r="AT71" s="494">
        <v>165155.60086358665</v>
      </c>
      <c r="AU71" s="494">
        <v>210371.10281378217</v>
      </c>
      <c r="AV71" s="494">
        <v>257587.39437851915</v>
      </c>
      <c r="AW71" s="494">
        <v>294772.72964699892</v>
      </c>
      <c r="AX71" s="494">
        <v>333298.74095267802</v>
      </c>
      <c r="AY71" s="494">
        <v>378859.17219437379</v>
      </c>
    </row>
    <row r="72" spans="1:51" x14ac:dyDescent="0.3">
      <c r="A72" s="575" t="s">
        <v>92</v>
      </c>
      <c r="B72" s="488" t="s">
        <v>820</v>
      </c>
      <c r="C72" s="487" t="s">
        <v>638</v>
      </c>
      <c r="D72" s="582" t="s">
        <v>831</v>
      </c>
      <c r="E72" s="582">
        <v>2015.5</v>
      </c>
      <c r="F72" s="582"/>
      <c r="G72" s="489">
        <v>0.64130207285568797</v>
      </c>
      <c r="H72" s="490">
        <v>0.63163950905079402</v>
      </c>
      <c r="I72" s="490">
        <v>0.631408451742</v>
      </c>
      <c r="J72" s="490">
        <v>0.63568983865122797</v>
      </c>
      <c r="K72" s="490">
        <v>0.63799805841117896</v>
      </c>
      <c r="L72" s="490">
        <v>0.64046996405258616</v>
      </c>
      <c r="M72" s="490">
        <v>0.64412001994173795</v>
      </c>
      <c r="N72" s="490">
        <v>0.64648606383524099</v>
      </c>
      <c r="O72" s="491">
        <v>0.64947039167940701</v>
      </c>
      <c r="P72" s="489">
        <v>0.44432937503003328</v>
      </c>
      <c r="Q72" s="490">
        <v>0.44272339361225604</v>
      </c>
      <c r="R72" s="490">
        <v>0.44764835602478992</v>
      </c>
      <c r="S72" s="490">
        <v>0.45516495231917203</v>
      </c>
      <c r="T72" s="490">
        <v>0.46131517945952683</v>
      </c>
      <c r="U72" s="490">
        <v>0.46632748022179293</v>
      </c>
      <c r="V72" s="490">
        <v>0.47157975497042898</v>
      </c>
      <c r="W72" s="490">
        <v>0.47591619990376272</v>
      </c>
      <c r="X72" s="491">
        <v>0.47942124524285307</v>
      </c>
      <c r="Y72" s="492">
        <v>138442</v>
      </c>
      <c r="Z72" s="492">
        <v>140539.00000000003</v>
      </c>
      <c r="AA72" s="492">
        <v>142861</v>
      </c>
      <c r="AB72" s="492">
        <v>145518</v>
      </c>
      <c r="AC72" s="492">
        <v>148685.00000000003</v>
      </c>
      <c r="AD72" s="492">
        <v>152402.00000000003</v>
      </c>
      <c r="AE72" s="492">
        <v>156398</v>
      </c>
      <c r="AF72" s="492">
        <v>160321</v>
      </c>
      <c r="AG72" s="492">
        <v>163953</v>
      </c>
      <c r="AH72" s="493">
        <v>11324877.826451723</v>
      </c>
      <c r="AI72" s="494">
        <v>11304993.211802617</v>
      </c>
      <c r="AJ72" s="494">
        <v>11438827.379348285</v>
      </c>
      <c r="AK72" s="494">
        <v>11631400.803462012</v>
      </c>
      <c r="AL72" s="494">
        <v>11793143.823120466</v>
      </c>
      <c r="AM72" s="494">
        <v>11915691.641140854</v>
      </c>
      <c r="AN72" s="494">
        <v>12037048.251893185</v>
      </c>
      <c r="AO72" s="494">
        <v>12130757.468553383</v>
      </c>
      <c r="AP72" s="495">
        <v>12200627.308119496</v>
      </c>
      <c r="AQ72" s="494">
        <v>0</v>
      </c>
      <c r="AR72" s="494">
        <v>-19884.614649105817</v>
      </c>
      <c r="AS72" s="494">
        <v>113949.55289656296</v>
      </c>
      <c r="AT72" s="494">
        <v>306522.97701028921</v>
      </c>
      <c r="AU72" s="494">
        <v>468265.99666874297</v>
      </c>
      <c r="AV72" s="494">
        <v>590813.81468913145</v>
      </c>
      <c r="AW72" s="494">
        <v>712170.42544146255</v>
      </c>
      <c r="AX72" s="494">
        <v>805879.64210166037</v>
      </c>
      <c r="AY72" s="494">
        <v>875749.4816677738</v>
      </c>
    </row>
    <row r="73" spans="1:51" x14ac:dyDescent="0.3">
      <c r="A73" s="579" t="s">
        <v>93</v>
      </c>
      <c r="B73" s="488" t="s">
        <v>820</v>
      </c>
      <c r="C73" s="487" t="s">
        <v>638</v>
      </c>
      <c r="D73" s="585" t="s">
        <v>821</v>
      </c>
      <c r="E73" s="585" t="s">
        <v>821</v>
      </c>
      <c r="F73" s="585"/>
      <c r="G73" s="489">
        <v>0</v>
      </c>
      <c r="H73" s="490">
        <v>0</v>
      </c>
      <c r="I73" s="490">
        <v>0</v>
      </c>
      <c r="J73" s="490">
        <v>0</v>
      </c>
      <c r="K73" s="490">
        <v>0</v>
      </c>
      <c r="L73" s="490">
        <v>0</v>
      </c>
      <c r="M73" s="490">
        <v>0</v>
      </c>
      <c r="N73" s="490">
        <v>0</v>
      </c>
      <c r="O73" s="491">
        <v>0</v>
      </c>
      <c r="P73" s="489"/>
      <c r="Q73" s="490"/>
      <c r="R73" s="490"/>
      <c r="S73" s="490"/>
      <c r="T73" s="490"/>
      <c r="U73" s="490"/>
      <c r="V73" s="490"/>
      <c r="W73" s="490"/>
      <c r="X73" s="491"/>
      <c r="Y73" s="492">
        <v>6076563.9999999991</v>
      </c>
      <c r="Z73" s="492">
        <v>6273305</v>
      </c>
      <c r="AA73" s="492">
        <v>6471577</v>
      </c>
      <c r="AB73" s="492">
        <v>6673836</v>
      </c>
      <c r="AC73" s="492">
        <v>6873749</v>
      </c>
      <c r="AD73" s="492">
        <v>7077464.0000000009</v>
      </c>
      <c r="AE73" s="492">
        <v>7285080</v>
      </c>
      <c r="AF73" s="492">
        <v>7496628</v>
      </c>
      <c r="AG73" s="492">
        <v>7712401.0000000009</v>
      </c>
      <c r="AH73" s="493">
        <v>0</v>
      </c>
      <c r="AI73" s="494">
        <v>0</v>
      </c>
      <c r="AJ73" s="494">
        <v>0</v>
      </c>
      <c r="AK73" s="494">
        <v>0</v>
      </c>
      <c r="AL73" s="494">
        <v>0</v>
      </c>
      <c r="AM73" s="494">
        <v>0</v>
      </c>
      <c r="AN73" s="494">
        <v>0</v>
      </c>
      <c r="AO73" s="494">
        <v>0</v>
      </c>
      <c r="AP73" s="495">
        <v>0</v>
      </c>
      <c r="AQ73" s="494">
        <v>0</v>
      </c>
      <c r="AR73" s="494">
        <v>0</v>
      </c>
      <c r="AS73" s="494">
        <v>0</v>
      </c>
      <c r="AT73" s="494">
        <v>0</v>
      </c>
      <c r="AU73" s="494">
        <v>0</v>
      </c>
      <c r="AV73" s="494">
        <v>0</v>
      </c>
      <c r="AW73" s="494">
        <v>0</v>
      </c>
      <c r="AX73" s="494">
        <v>0</v>
      </c>
      <c r="AY73" s="494">
        <v>0</v>
      </c>
    </row>
    <row r="74" spans="1:51" x14ac:dyDescent="0.3">
      <c r="A74" s="575" t="s">
        <v>94</v>
      </c>
      <c r="B74" s="488" t="s">
        <v>819</v>
      </c>
      <c r="C74" s="487" t="s">
        <v>636</v>
      </c>
      <c r="D74" s="582" t="s">
        <v>797</v>
      </c>
      <c r="E74" s="582">
        <v>2013</v>
      </c>
      <c r="F74" s="582"/>
      <c r="G74" s="489">
        <v>0.26993125539557</v>
      </c>
      <c r="H74" s="490">
        <v>0.28554607582664299</v>
      </c>
      <c r="I74" s="490">
        <v>0.29610288122380202</v>
      </c>
      <c r="J74" s="490">
        <v>0.306277640816566</v>
      </c>
      <c r="K74" s="490">
        <v>0.31555083303711201</v>
      </c>
      <c r="L74" s="490">
        <v>0.32508240496489299</v>
      </c>
      <c r="M74" s="490">
        <v>0.33460325046276101</v>
      </c>
      <c r="N74" s="490">
        <v>0.34372566444549202</v>
      </c>
      <c r="O74" s="491">
        <v>0.35492850400441001</v>
      </c>
      <c r="P74" s="489">
        <v>0.16519792830208885</v>
      </c>
      <c r="Q74" s="490">
        <v>0.17503974448173215</v>
      </c>
      <c r="R74" s="490">
        <v>0.18151106619019064</v>
      </c>
      <c r="S74" s="490">
        <v>0.18744191617973838</v>
      </c>
      <c r="T74" s="490">
        <v>0.19311710981871255</v>
      </c>
      <c r="U74" s="490">
        <v>0.19862534943354962</v>
      </c>
      <c r="V74" s="490">
        <v>0.2041079827822842</v>
      </c>
      <c r="W74" s="490">
        <v>0.20898520398285914</v>
      </c>
      <c r="X74" s="491">
        <v>0.21544160193067688</v>
      </c>
      <c r="Y74" s="492">
        <v>3429323.9999999995</v>
      </c>
      <c r="Z74" s="492">
        <v>3554145.0000000005</v>
      </c>
      <c r="AA74" s="492">
        <v>3684989.0000000005</v>
      </c>
      <c r="AB74" s="492">
        <v>3821328</v>
      </c>
      <c r="AC74" s="492">
        <v>3959323</v>
      </c>
      <c r="AD74" s="492">
        <v>4102654.9999999995</v>
      </c>
      <c r="AE74" s="492">
        <v>4250202</v>
      </c>
      <c r="AF74" s="492">
        <v>4400331</v>
      </c>
      <c r="AG74" s="492">
        <v>4552045.9999999991</v>
      </c>
      <c r="AH74" s="493">
        <v>988001.56256729888</v>
      </c>
      <c r="AI74" s="494">
        <v>1081366.3097708125</v>
      </c>
      <c r="AJ74" s="494">
        <v>1157436.8964872677</v>
      </c>
      <c r="AK74" s="494">
        <v>1233387.6773057939</v>
      </c>
      <c r="AL74" s="494">
        <v>1309508.1962039275</v>
      </c>
      <c r="AM74" s="494">
        <v>1387729.5715015486</v>
      </c>
      <c r="AN74" s="494">
        <v>1468854.9337733975</v>
      </c>
      <c r="AO74" s="494">
        <v>1548286.3193309824</v>
      </c>
      <c r="AP74" s="495">
        <v>1642206.4114574101</v>
      </c>
      <c r="AQ74" s="494">
        <v>0</v>
      </c>
      <c r="AR74" s="494">
        <v>93364.747203513631</v>
      </c>
      <c r="AS74" s="494">
        <v>169435.33391996881</v>
      </c>
      <c r="AT74" s="494">
        <v>245386.11473849497</v>
      </c>
      <c r="AU74" s="494">
        <v>321506.63363662863</v>
      </c>
      <c r="AV74" s="494">
        <v>399728.00893424975</v>
      </c>
      <c r="AW74" s="494">
        <v>480853.37120609859</v>
      </c>
      <c r="AX74" s="494">
        <v>560284.75676368352</v>
      </c>
      <c r="AY74" s="494">
        <v>654204.8488901112</v>
      </c>
    </row>
    <row r="75" spans="1:51" x14ac:dyDescent="0.3">
      <c r="A75" s="576" t="s">
        <v>48</v>
      </c>
      <c r="B75" s="488" t="s">
        <v>819</v>
      </c>
      <c r="C75" s="487" t="s">
        <v>636</v>
      </c>
      <c r="D75" s="581" t="s">
        <v>795</v>
      </c>
      <c r="E75" s="581">
        <v>2018</v>
      </c>
      <c r="F75" s="581" t="s">
        <v>928</v>
      </c>
      <c r="G75" s="489">
        <v>0.42899999999999999</v>
      </c>
      <c r="H75" s="490">
        <v>0.44500000000000001</v>
      </c>
      <c r="I75" s="490">
        <v>0.45500000000000002</v>
      </c>
      <c r="J75" s="490">
        <v>0.46200000000000002</v>
      </c>
      <c r="K75" s="490">
        <v>0.46600000000000003</v>
      </c>
      <c r="L75" s="490">
        <v>0.47</v>
      </c>
      <c r="M75" s="490">
        <v>0.47599999999999998</v>
      </c>
      <c r="N75" s="490">
        <v>0.48499999999999999</v>
      </c>
      <c r="O75" s="491">
        <v>0.49299999999999999</v>
      </c>
      <c r="P75" s="489">
        <v>0.31121651785714288</v>
      </c>
      <c r="Q75" s="490">
        <v>0.32282366071428575</v>
      </c>
      <c r="R75" s="490">
        <v>0.330078125</v>
      </c>
      <c r="S75" s="490">
        <v>0.33515625000000004</v>
      </c>
      <c r="T75" s="490">
        <v>0.33805803571428572</v>
      </c>
      <c r="U75" s="490">
        <v>0.3409598214285714</v>
      </c>
      <c r="V75" s="490">
        <v>0.34531250000000002</v>
      </c>
      <c r="W75" s="490">
        <v>0.35184151785714285</v>
      </c>
      <c r="X75" s="491">
        <v>0.35764508928571431</v>
      </c>
      <c r="Y75" s="492">
        <v>3819347</v>
      </c>
      <c r="Z75" s="492">
        <v>3908747</v>
      </c>
      <c r="AA75" s="492">
        <v>4001967</v>
      </c>
      <c r="AB75" s="492">
        <v>4099066</v>
      </c>
      <c r="AC75" s="492">
        <v>4199529</v>
      </c>
      <c r="AD75" s="492">
        <v>4306693.9999999991</v>
      </c>
      <c r="AE75" s="492">
        <v>4418700</v>
      </c>
      <c r="AF75" s="492">
        <v>4533181</v>
      </c>
      <c r="AG75" s="492">
        <v>4649057</v>
      </c>
      <c r="AH75" s="493">
        <v>1049548.7633370531</v>
      </c>
      <c r="AI75" s="494">
        <v>1127315.0731026789</v>
      </c>
      <c r="AJ75" s="494">
        <v>1194595.6445312498</v>
      </c>
      <c r="AK75" s="494">
        <v>1258192.3148437501</v>
      </c>
      <c r="AL75" s="494">
        <v>1315738.1017857143</v>
      </c>
      <c r="AM75" s="494">
        <v>1377098.53125</v>
      </c>
      <c r="AN75" s="494">
        <v>1447716.0953124997</v>
      </c>
      <c r="AO75" s="494">
        <v>1530226.6665736607</v>
      </c>
      <c r="AP75" s="495">
        <v>1611867.7917410708</v>
      </c>
      <c r="AQ75" s="494">
        <v>0</v>
      </c>
      <c r="AR75" s="494">
        <v>77766.309765625745</v>
      </c>
      <c r="AS75" s="494">
        <v>145046.88119419664</v>
      </c>
      <c r="AT75" s="494">
        <v>208643.55150669697</v>
      </c>
      <c r="AU75" s="494">
        <v>266189.33844866115</v>
      </c>
      <c r="AV75" s="494">
        <v>327549.76791294687</v>
      </c>
      <c r="AW75" s="494">
        <v>398167.33197544655</v>
      </c>
      <c r="AX75" s="494">
        <v>480677.90323660756</v>
      </c>
      <c r="AY75" s="494">
        <v>562319.02840401768</v>
      </c>
    </row>
    <row r="76" spans="1:51" x14ac:dyDescent="0.3">
      <c r="A76" s="576" t="s">
        <v>49</v>
      </c>
      <c r="B76" s="509"/>
      <c r="C76" s="488"/>
      <c r="D76" s="581" t="s">
        <v>797</v>
      </c>
      <c r="E76" s="581">
        <v>2015</v>
      </c>
      <c r="F76" s="581" t="s">
        <v>818</v>
      </c>
      <c r="G76" s="512">
        <v>0.60899999999999999</v>
      </c>
      <c r="H76" s="512">
        <v>0.628</v>
      </c>
      <c r="I76" s="512">
        <v>0.64400000000000002</v>
      </c>
      <c r="J76" s="512">
        <v>0.65500000000000003</v>
      </c>
      <c r="K76" s="512">
        <v>0.65800000000000003</v>
      </c>
      <c r="L76" s="512">
        <v>0.65800000000000003</v>
      </c>
      <c r="M76" s="512">
        <v>0.66700000000000004</v>
      </c>
      <c r="N76" s="512">
        <v>0.67200000000000004</v>
      </c>
      <c r="O76" s="512">
        <v>0.67600000000000005</v>
      </c>
      <c r="P76" s="87">
        <v>0.44332978723404259</v>
      </c>
      <c r="Q76" s="87">
        <v>0.45716109422492407</v>
      </c>
      <c r="R76" s="87">
        <v>0.46880851063829793</v>
      </c>
      <c r="S76" s="87">
        <v>0.47681610942249247</v>
      </c>
      <c r="T76" s="87">
        <v>0.47900000000000004</v>
      </c>
      <c r="U76" s="87">
        <v>0.47900000000000004</v>
      </c>
      <c r="V76" s="87">
        <v>0.48555167173252284</v>
      </c>
      <c r="W76" s="87">
        <v>0.4891914893617022</v>
      </c>
      <c r="X76" s="87">
        <v>0.49210334346504564</v>
      </c>
      <c r="Y76" s="513"/>
      <c r="Z76" s="513"/>
      <c r="AA76" s="513"/>
      <c r="AB76" s="513"/>
      <c r="AC76" s="513"/>
      <c r="AD76" s="513"/>
      <c r="AE76" s="513"/>
      <c r="AF76" s="513"/>
      <c r="AG76" s="513"/>
      <c r="AH76" s="513">
        <v>1524677.1944361704</v>
      </c>
      <c r="AI76" s="513">
        <v>1595197.8071003039</v>
      </c>
      <c r="AJ76" s="513">
        <v>1659910.7624255321</v>
      </c>
      <c r="AK76" s="513">
        <v>1713279.4326291792</v>
      </c>
      <c r="AL76" s="513">
        <v>1740906.8190000004</v>
      </c>
      <c r="AM76" s="513">
        <v>1764055.4519999998</v>
      </c>
      <c r="AN76" s="513">
        <v>1814599.3376337383</v>
      </c>
      <c r="AO76" s="513">
        <v>1856629.437957447</v>
      </c>
      <c r="AP76" s="513">
        <v>1897807.3703465045</v>
      </c>
      <c r="AQ76" s="514">
        <v>0</v>
      </c>
      <c r="AR76" s="514">
        <v>70520.612664133543</v>
      </c>
      <c r="AS76" s="514">
        <v>135233.56798936171</v>
      </c>
      <c r="AT76" s="514">
        <v>188602.23819300882</v>
      </c>
      <c r="AU76" s="514">
        <v>216229.62456382997</v>
      </c>
      <c r="AV76" s="514">
        <v>239378.25756382942</v>
      </c>
      <c r="AW76" s="514">
        <v>289922.1431975679</v>
      </c>
      <c r="AX76" s="514">
        <v>331952.24352127663</v>
      </c>
      <c r="AY76" s="514">
        <v>373130.1759103341</v>
      </c>
    </row>
    <row r="77" spans="1:51" ht="15" thickBot="1" x14ac:dyDescent="0.35">
      <c r="A77" s="515"/>
      <c r="B77" s="515"/>
      <c r="C77" s="515"/>
      <c r="D77" s="515"/>
      <c r="E77" s="510"/>
      <c r="F77" s="511"/>
      <c r="G77" s="512"/>
      <c r="H77" s="512"/>
      <c r="I77" s="512"/>
      <c r="J77" s="512"/>
      <c r="K77" s="512"/>
      <c r="L77" s="512"/>
      <c r="M77" s="512"/>
      <c r="N77" s="512"/>
      <c r="O77" s="512"/>
      <c r="P77" s="87"/>
      <c r="Q77" s="87"/>
      <c r="R77" s="87"/>
      <c r="S77" s="87"/>
      <c r="T77" s="87"/>
      <c r="U77" s="87"/>
      <c r="V77" s="87"/>
      <c r="W77" s="87"/>
      <c r="X77" s="87"/>
      <c r="Y77" s="513"/>
      <c r="Z77" s="513"/>
      <c r="AA77" s="513"/>
      <c r="AB77" s="513"/>
      <c r="AC77" s="513"/>
      <c r="AD77" s="513"/>
      <c r="AE77" s="513"/>
      <c r="AF77" s="513"/>
      <c r="AG77" s="513"/>
      <c r="AH77" s="513"/>
      <c r="AI77" s="513"/>
      <c r="AJ77" s="513"/>
      <c r="AK77" s="513"/>
      <c r="AL77" s="513"/>
      <c r="AM77" s="513"/>
      <c r="AN77" s="513"/>
      <c r="AO77" s="513"/>
      <c r="AP77" s="513"/>
      <c r="AQ77" s="514"/>
      <c r="AR77" s="514"/>
      <c r="AS77" s="514"/>
      <c r="AT77" s="514"/>
      <c r="AU77" s="514"/>
      <c r="AV77" s="514"/>
      <c r="AW77" s="514"/>
      <c r="AX77" s="514"/>
      <c r="AY77" s="514"/>
    </row>
    <row r="78" spans="1:51" s="79" customFormat="1" ht="15" thickBot="1" x14ac:dyDescent="0.35">
      <c r="A78" s="516"/>
      <c r="B78" s="517"/>
      <c r="C78" s="517"/>
      <c r="D78" s="517"/>
      <c r="E78" s="519"/>
      <c r="F78" s="518"/>
      <c r="G78" s="520"/>
      <c r="H78" s="520"/>
      <c r="I78" s="520"/>
      <c r="J78" s="520"/>
      <c r="K78" s="520"/>
      <c r="L78" s="520"/>
      <c r="M78" s="520"/>
      <c r="N78" s="520"/>
      <c r="O78" s="520"/>
      <c r="P78" s="521"/>
      <c r="Q78" s="521"/>
      <c r="R78" s="521"/>
      <c r="S78" s="521"/>
      <c r="T78" s="521"/>
      <c r="U78" s="521"/>
      <c r="V78" s="521"/>
      <c r="W78" s="521"/>
      <c r="X78" s="521"/>
      <c r="Y78" s="522"/>
      <c r="Z78" s="522"/>
      <c r="AA78" s="522"/>
      <c r="AB78" s="522"/>
      <c r="AC78" s="522"/>
      <c r="AD78" s="522"/>
      <c r="AE78" s="522"/>
      <c r="AF78" s="522"/>
      <c r="AG78" s="522"/>
      <c r="AH78" s="522"/>
      <c r="AI78" s="522"/>
      <c r="AJ78" s="522"/>
      <c r="AK78" s="522"/>
      <c r="AL78" s="522"/>
      <c r="AM78" s="522"/>
      <c r="AN78" s="522"/>
      <c r="AO78" s="522"/>
      <c r="AP78" s="522"/>
      <c r="AQ78" s="523"/>
      <c r="AR78" s="523"/>
      <c r="AS78" s="523"/>
      <c r="AT78" s="523"/>
      <c r="AU78" s="523"/>
      <c r="AV78" s="523"/>
      <c r="AW78" s="523"/>
      <c r="AX78" s="523"/>
      <c r="AY78" s="524"/>
    </row>
    <row r="79" spans="1:51" ht="15" thickBot="1" x14ac:dyDescent="0.35">
      <c r="F79" s="518"/>
      <c r="P79" s="527"/>
      <c r="Q79" s="527"/>
      <c r="R79" s="527"/>
      <c r="S79" s="527"/>
      <c r="T79" s="527"/>
      <c r="U79" s="527"/>
      <c r="V79" s="527"/>
      <c r="W79" s="527"/>
      <c r="X79" s="527"/>
      <c r="AQ79" s="528"/>
      <c r="AR79" s="529"/>
      <c r="AS79" s="529"/>
      <c r="AT79" s="529"/>
      <c r="AU79" s="529"/>
      <c r="AV79" s="529"/>
      <c r="AW79" s="529"/>
      <c r="AX79" s="529"/>
      <c r="AY79" s="529"/>
    </row>
    <row r="80" spans="1:51" x14ac:dyDescent="0.3">
      <c r="A80" s="530"/>
      <c r="G80" s="512"/>
      <c r="H80" s="512"/>
      <c r="I80" s="512"/>
      <c r="J80" s="512"/>
      <c r="K80" s="512"/>
      <c r="L80" s="512"/>
      <c r="M80" s="512"/>
      <c r="N80" s="512"/>
      <c r="O80" s="512"/>
      <c r="P80" s="432"/>
      <c r="Q80" s="432"/>
      <c r="R80" s="432"/>
      <c r="S80" s="432"/>
      <c r="T80" s="432"/>
      <c r="U80" s="432"/>
      <c r="V80" s="432"/>
      <c r="W80" s="432"/>
      <c r="X80" s="432"/>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row>
    <row r="81" spans="1:51" x14ac:dyDescent="0.3">
      <c r="A81" s="531"/>
      <c r="G81" s="512"/>
      <c r="H81" s="512"/>
      <c r="I81" s="512"/>
      <c r="J81" s="512"/>
      <c r="K81" s="512"/>
      <c r="L81" s="512"/>
      <c r="M81" s="512"/>
      <c r="N81" s="512"/>
      <c r="O81" s="512"/>
      <c r="P81" s="432"/>
      <c r="Q81" s="432"/>
      <c r="R81" s="432"/>
      <c r="S81" s="432"/>
      <c r="T81" s="432"/>
      <c r="U81" s="432"/>
      <c r="V81" s="432"/>
      <c r="W81" s="432"/>
      <c r="X81" s="432"/>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row>
    <row r="82" spans="1:51" x14ac:dyDescent="0.3">
      <c r="A82" s="531"/>
      <c r="G82" s="512"/>
      <c r="H82" s="512"/>
      <c r="I82" s="512"/>
      <c r="J82" s="512"/>
      <c r="K82" s="512"/>
      <c r="L82" s="512"/>
      <c r="M82" s="512"/>
      <c r="N82" s="512"/>
      <c r="O82" s="512"/>
      <c r="P82" s="432"/>
      <c r="Q82" s="432"/>
      <c r="R82" s="432"/>
      <c r="S82" s="432"/>
      <c r="T82" s="432"/>
      <c r="U82" s="432"/>
      <c r="V82" s="432"/>
      <c r="W82" s="432"/>
      <c r="X82" s="432"/>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row>
    <row r="83" spans="1:51" x14ac:dyDescent="0.3">
      <c r="A83" s="531"/>
      <c r="G83" s="512"/>
      <c r="H83" s="512"/>
      <c r="I83" s="512"/>
      <c r="J83" s="512"/>
      <c r="K83" s="512"/>
      <c r="L83" s="512"/>
      <c r="M83" s="512"/>
      <c r="N83" s="512"/>
      <c r="O83" s="512"/>
      <c r="P83" s="432"/>
      <c r="Q83" s="432"/>
      <c r="R83" s="432"/>
      <c r="S83" s="432"/>
      <c r="T83" s="432"/>
      <c r="U83" s="432"/>
      <c r="V83" s="432"/>
      <c r="W83" s="432"/>
      <c r="X83" s="432"/>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row>
    <row r="84" spans="1:51" x14ac:dyDescent="0.3">
      <c r="A84" s="531"/>
      <c r="G84" s="512"/>
      <c r="H84" s="512"/>
      <c r="I84" s="512"/>
      <c r="J84" s="512"/>
      <c r="K84" s="512"/>
      <c r="L84" s="512"/>
      <c r="M84" s="512"/>
      <c r="N84" s="512"/>
      <c r="O84" s="512"/>
      <c r="P84" s="432"/>
      <c r="Q84" s="432"/>
      <c r="R84" s="432"/>
      <c r="S84" s="432"/>
      <c r="T84" s="432"/>
      <c r="U84" s="432"/>
      <c r="V84" s="432"/>
      <c r="W84" s="432"/>
      <c r="X84" s="432"/>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row>
    <row r="85" spans="1:51" x14ac:dyDescent="0.3">
      <c r="A85" s="531"/>
      <c r="G85" s="512"/>
      <c r="H85" s="512"/>
      <c r="I85" s="512"/>
      <c r="J85" s="512"/>
      <c r="K85" s="512"/>
      <c r="L85" s="512"/>
      <c r="M85" s="512"/>
      <c r="N85" s="512"/>
      <c r="O85" s="512"/>
      <c r="P85" s="432"/>
      <c r="Q85" s="432"/>
      <c r="R85" s="432"/>
      <c r="S85" s="432"/>
      <c r="T85" s="432"/>
      <c r="U85" s="432"/>
      <c r="V85" s="432"/>
      <c r="W85" s="432"/>
      <c r="X85" s="432"/>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row>
    <row r="86" spans="1:51" x14ac:dyDescent="0.3">
      <c r="A86" s="531"/>
      <c r="G86" s="512"/>
      <c r="H86" s="512"/>
      <c r="I86" s="512"/>
      <c r="J86" s="512"/>
      <c r="K86" s="512"/>
      <c r="L86" s="512"/>
      <c r="M86" s="512"/>
      <c r="N86" s="512"/>
      <c r="O86" s="512"/>
      <c r="P86" s="432"/>
      <c r="Q86" s="432"/>
      <c r="R86" s="432"/>
      <c r="S86" s="432"/>
      <c r="T86" s="432"/>
      <c r="U86" s="432"/>
      <c r="V86" s="432"/>
      <c r="W86" s="432"/>
      <c r="X86" s="432"/>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row>
    <row r="87" spans="1:51" ht="15" thickBot="1" x14ac:dyDescent="0.35">
      <c r="A87" s="532"/>
      <c r="D87" s="533"/>
      <c r="E87" s="534"/>
      <c r="F87" s="535"/>
      <c r="G87" s="512"/>
      <c r="H87" s="512"/>
      <c r="I87" s="512"/>
      <c r="J87" s="512"/>
      <c r="K87" s="512"/>
      <c r="L87" s="512"/>
      <c r="M87" s="512"/>
      <c r="N87" s="512"/>
      <c r="O87" s="512"/>
      <c r="P87" s="432"/>
      <c r="Q87" s="432"/>
      <c r="R87" s="432"/>
      <c r="S87" s="432"/>
      <c r="T87" s="432"/>
      <c r="U87" s="432"/>
      <c r="V87" s="432"/>
      <c r="W87" s="432"/>
      <c r="X87" s="432"/>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row>
    <row r="88" spans="1:51" x14ac:dyDescent="0.3">
      <c r="A88" s="526"/>
      <c r="G88" s="9"/>
      <c r="H88" s="9"/>
      <c r="I88" s="9"/>
      <c r="J88" s="9"/>
      <c r="K88" s="9"/>
      <c r="L88" s="9"/>
      <c r="M88" s="9"/>
      <c r="N88" s="9"/>
      <c r="O88" s="9"/>
      <c r="P88" s="527"/>
      <c r="Q88" s="527"/>
      <c r="R88" s="527"/>
      <c r="S88" s="527"/>
      <c r="T88" s="527"/>
      <c r="U88" s="527"/>
      <c r="V88" s="527"/>
      <c r="W88" s="527"/>
      <c r="X88" s="527"/>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row>
    <row r="89" spans="1:51" x14ac:dyDescent="0.3">
      <c r="A89" s="526"/>
      <c r="G89" s="512"/>
      <c r="H89" s="512"/>
      <c r="I89" s="512"/>
      <c r="J89" s="512"/>
      <c r="K89" s="512"/>
      <c r="L89" s="512"/>
      <c r="M89" s="512"/>
      <c r="N89" s="512"/>
      <c r="O89" s="512"/>
      <c r="P89" s="432"/>
      <c r="Q89" s="432"/>
      <c r="R89" s="432"/>
      <c r="S89" s="432"/>
      <c r="T89" s="432"/>
      <c r="U89" s="432"/>
      <c r="V89" s="432"/>
      <c r="W89" s="432"/>
      <c r="X89" s="432"/>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29"/>
    </row>
    <row r="90" spans="1:51" x14ac:dyDescent="0.3">
      <c r="G90" s="9"/>
      <c r="H90" s="9"/>
      <c r="I90" s="9"/>
      <c r="J90" s="9"/>
      <c r="K90" s="9"/>
      <c r="L90" s="9"/>
      <c r="M90" s="9"/>
      <c r="N90" s="9"/>
      <c r="O90" s="9"/>
      <c r="P90" s="432"/>
      <c r="Q90" s="432"/>
      <c r="R90" s="432"/>
      <c r="S90" s="432"/>
      <c r="T90" s="432"/>
      <c r="U90" s="432"/>
      <c r="V90" s="432"/>
      <c r="W90" s="432"/>
      <c r="X90" s="432"/>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row>
    <row r="91" spans="1:51" x14ac:dyDescent="0.3">
      <c r="G91" s="9"/>
      <c r="H91" s="9"/>
      <c r="I91" s="9"/>
      <c r="J91" s="9"/>
      <c r="K91" s="9"/>
      <c r="L91" s="9"/>
      <c r="M91" s="9"/>
      <c r="N91" s="9"/>
      <c r="O91" s="9"/>
      <c r="P91" s="536"/>
      <c r="Q91" s="536"/>
      <c r="R91" s="536"/>
      <c r="S91" s="536"/>
      <c r="T91" s="536"/>
      <c r="U91" s="536"/>
      <c r="V91" s="536"/>
      <c r="W91" s="536"/>
      <c r="X91" s="5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row>
    <row r="92" spans="1:51" x14ac:dyDescent="0.3">
      <c r="G92" s="9"/>
      <c r="H92" s="9"/>
      <c r="I92" s="9"/>
      <c r="J92" s="9"/>
      <c r="K92" s="9"/>
      <c r="L92" s="9"/>
      <c r="M92" s="9"/>
      <c r="N92" s="9"/>
      <c r="O92" s="9"/>
      <c r="P92" s="4"/>
      <c r="Q92" s="4"/>
    </row>
    <row r="93" spans="1:51" x14ac:dyDescent="0.3">
      <c r="P93" s="432"/>
      <c r="Q93" s="432"/>
      <c r="R93" s="432"/>
      <c r="S93" s="432"/>
      <c r="T93" s="432"/>
      <c r="U93" s="432"/>
      <c r="V93" s="432"/>
      <c r="W93" s="432"/>
      <c r="X93" s="432"/>
      <c r="Y93" s="537"/>
      <c r="Z93" s="537"/>
      <c r="AA93" s="537"/>
      <c r="AB93" s="537"/>
      <c r="AC93" s="537"/>
      <c r="AD93" s="537"/>
      <c r="AE93" s="537"/>
      <c r="AF93" s="537"/>
      <c r="AG93" s="537"/>
      <c r="AH93" s="537"/>
      <c r="AI93" s="537"/>
      <c r="AJ93" s="537"/>
      <c r="AK93" s="537"/>
      <c r="AL93" s="537"/>
      <c r="AM93" s="537"/>
      <c r="AN93" s="537"/>
      <c r="AO93" s="537"/>
      <c r="AP93" s="537"/>
    </row>
    <row r="94" spans="1:51" x14ac:dyDescent="0.3">
      <c r="P94" s="432"/>
      <c r="Q94" s="432"/>
      <c r="R94" s="432"/>
      <c r="S94" s="432"/>
      <c r="T94" s="432"/>
      <c r="U94" s="432"/>
      <c r="V94" s="432"/>
      <c r="W94" s="432"/>
      <c r="X94" s="432"/>
      <c r="Y94" s="537"/>
      <c r="Z94" s="537"/>
      <c r="AA94" s="537"/>
      <c r="AB94" s="537"/>
      <c r="AC94" s="537"/>
      <c r="AD94" s="537"/>
      <c r="AE94" s="537"/>
      <c r="AF94" s="537"/>
      <c r="AG94" s="537"/>
      <c r="AH94" s="537"/>
      <c r="AI94" s="537"/>
      <c r="AJ94" s="537"/>
      <c r="AK94" s="537"/>
      <c r="AL94" s="537"/>
      <c r="AM94" s="537"/>
      <c r="AN94" s="537"/>
      <c r="AO94" s="537"/>
      <c r="AP94" s="537"/>
    </row>
    <row r="95" spans="1:51" x14ac:dyDescent="0.3">
      <c r="P95" s="4"/>
      <c r="Q95" s="4"/>
    </row>
    <row r="96" spans="1:51" x14ac:dyDescent="0.3">
      <c r="P96" s="4"/>
      <c r="Q96" s="4"/>
    </row>
    <row r="97" spans="1:51" x14ac:dyDescent="0.3">
      <c r="A97" s="8"/>
      <c r="B97" s="8"/>
      <c r="C97" s="8"/>
      <c r="D97" s="8"/>
      <c r="E97" s="8"/>
      <c r="F97" s="8"/>
      <c r="G97" s="8"/>
      <c r="H97" s="8"/>
      <c r="I97" s="8"/>
      <c r="J97" s="8"/>
      <c r="K97" s="8"/>
      <c r="L97" s="8"/>
      <c r="M97" s="8"/>
      <c r="N97" s="8"/>
      <c r="O97" s="8"/>
      <c r="P97" s="4"/>
      <c r="Q97" s="4"/>
      <c r="U97" s="8"/>
      <c r="V97" s="8"/>
    </row>
    <row r="98" spans="1:51" x14ac:dyDescent="0.3">
      <c r="A98" s="8"/>
      <c r="B98" s="8"/>
      <c r="C98" s="8"/>
      <c r="D98" s="8"/>
      <c r="E98" s="8"/>
      <c r="F98" s="8"/>
      <c r="G98" s="8"/>
      <c r="H98" s="8"/>
      <c r="I98" s="8"/>
      <c r="J98" s="8"/>
      <c r="K98" s="8"/>
      <c r="L98" s="8"/>
      <c r="M98" s="8"/>
      <c r="N98" s="8"/>
      <c r="O98" s="8"/>
      <c r="P98" s="4"/>
      <c r="Q98" s="4"/>
      <c r="U98" s="8"/>
      <c r="V98" s="8"/>
    </row>
    <row r="99" spans="1:51" x14ac:dyDescent="0.3">
      <c r="A99" s="8"/>
      <c r="B99" s="8"/>
      <c r="C99" s="8"/>
      <c r="D99" s="8"/>
      <c r="E99" s="8"/>
      <c r="F99" s="8"/>
      <c r="G99" s="8"/>
      <c r="H99" s="8"/>
      <c r="I99" s="8"/>
      <c r="J99" s="8"/>
      <c r="K99" s="8"/>
      <c r="L99" s="8"/>
      <c r="M99" s="8"/>
      <c r="N99" s="8"/>
      <c r="O99" s="8"/>
      <c r="P99" s="4"/>
      <c r="Q99" s="4"/>
      <c r="U99" s="8"/>
      <c r="V99" s="8"/>
    </row>
    <row r="100" spans="1:51" ht="15" thickBot="1" x14ac:dyDescent="0.35">
      <c r="A100" s="8"/>
      <c r="B100" s="8"/>
      <c r="C100" s="8"/>
      <c r="D100" s="8"/>
      <c r="E100" s="8"/>
      <c r="F100" s="8"/>
      <c r="G100" s="8"/>
      <c r="H100" s="8"/>
      <c r="I100" s="8"/>
      <c r="J100" s="8"/>
      <c r="K100" s="8"/>
      <c r="L100" s="8"/>
      <c r="M100" s="8"/>
      <c r="N100" s="8"/>
      <c r="O100" s="8"/>
      <c r="P100" s="4"/>
      <c r="Q100" s="4"/>
      <c r="V100" s="136"/>
      <c r="W100" s="136"/>
    </row>
    <row r="101" spans="1:51" x14ac:dyDescent="0.3">
      <c r="A101" s="8"/>
      <c r="B101" s="8"/>
      <c r="C101" s="8"/>
      <c r="D101" s="8"/>
      <c r="E101" s="8"/>
      <c r="F101" s="8"/>
      <c r="G101" s="8"/>
      <c r="H101" s="8"/>
      <c r="I101" s="8"/>
      <c r="J101" s="8"/>
      <c r="K101" s="8"/>
      <c r="L101" s="8"/>
      <c r="M101" s="8"/>
      <c r="N101" s="8"/>
      <c r="O101" s="8"/>
      <c r="P101" s="4"/>
      <c r="Q101" s="4"/>
      <c r="U101" s="530"/>
      <c r="V101" s="527"/>
      <c r="W101" s="432"/>
    </row>
    <row r="102" spans="1:51" x14ac:dyDescent="0.3">
      <c r="A102" s="8"/>
      <c r="B102" s="8"/>
      <c r="C102" s="8"/>
      <c r="D102" s="8"/>
      <c r="E102" s="8"/>
      <c r="F102" s="8"/>
      <c r="G102" s="8"/>
      <c r="H102" s="8"/>
      <c r="I102" s="8"/>
      <c r="J102" s="8"/>
      <c r="K102" s="8"/>
      <c r="L102" s="8"/>
      <c r="M102" s="8"/>
      <c r="N102" s="8"/>
      <c r="O102" s="8"/>
      <c r="P102" s="4"/>
      <c r="Q102" s="4"/>
      <c r="U102" s="531"/>
      <c r="V102" s="527"/>
      <c r="W102" s="432"/>
    </row>
    <row r="103" spans="1:51" x14ac:dyDescent="0.3">
      <c r="A103" s="8"/>
      <c r="B103" s="8"/>
      <c r="C103" s="8"/>
      <c r="D103" s="8"/>
      <c r="E103" s="8"/>
      <c r="F103" s="8"/>
      <c r="G103" s="8"/>
      <c r="H103" s="8"/>
      <c r="I103" s="8"/>
      <c r="J103" s="8"/>
      <c r="K103" s="8"/>
      <c r="L103" s="8"/>
      <c r="M103" s="8"/>
      <c r="N103" s="8"/>
      <c r="O103" s="8"/>
      <c r="P103" s="4"/>
      <c r="Q103" s="4"/>
      <c r="U103" s="531"/>
      <c r="V103" s="527"/>
      <c r="W103" s="432"/>
      <c r="AQ103" s="486"/>
      <c r="AR103" s="486"/>
      <c r="AS103" s="486"/>
      <c r="AT103" s="486"/>
      <c r="AU103" s="486"/>
      <c r="AV103" s="486"/>
      <c r="AW103" s="486"/>
      <c r="AX103" s="486"/>
      <c r="AY103" s="486"/>
    </row>
    <row r="104" spans="1:51" x14ac:dyDescent="0.3">
      <c r="A104" s="8"/>
      <c r="B104" s="8"/>
      <c r="C104" s="8"/>
      <c r="D104" s="8"/>
      <c r="E104" s="8"/>
      <c r="F104" s="8"/>
      <c r="G104" s="8"/>
      <c r="H104" s="8"/>
      <c r="I104" s="8"/>
      <c r="J104" s="8"/>
      <c r="K104" s="8"/>
      <c r="L104" s="8"/>
      <c r="M104" s="8"/>
      <c r="N104" s="8"/>
      <c r="O104" s="8"/>
      <c r="P104" s="4"/>
      <c r="Q104" s="4"/>
      <c r="U104" s="538"/>
      <c r="V104" s="539"/>
      <c r="W104" s="540"/>
      <c r="AQ104" s="236"/>
      <c r="AR104" s="236"/>
      <c r="AS104" s="236"/>
      <c r="AT104" s="236"/>
      <c r="AU104" s="236"/>
      <c r="AV104" s="236"/>
      <c r="AW104" s="236"/>
      <c r="AX104" s="236"/>
      <c r="AY104" s="236"/>
    </row>
    <row r="105" spans="1:51" x14ac:dyDescent="0.3">
      <c r="A105" s="8"/>
      <c r="B105" s="8"/>
      <c r="C105" s="8"/>
      <c r="D105" s="8"/>
      <c r="E105" s="8"/>
      <c r="F105" s="8"/>
      <c r="G105" s="8"/>
      <c r="H105" s="8"/>
      <c r="I105" s="8"/>
      <c r="J105" s="8"/>
      <c r="K105" s="8"/>
      <c r="L105" s="8"/>
      <c r="M105" s="8"/>
      <c r="N105" s="8"/>
      <c r="O105" s="8"/>
      <c r="P105" s="4"/>
      <c r="Q105" s="4"/>
      <c r="U105" s="531"/>
      <c r="V105" s="527"/>
      <c r="W105" s="432"/>
      <c r="AQ105" s="236"/>
      <c r="AR105" s="236"/>
      <c r="AS105" s="236"/>
      <c r="AT105" s="236"/>
      <c r="AU105" s="236"/>
      <c r="AV105" s="236"/>
      <c r="AW105" s="236"/>
      <c r="AX105" s="236"/>
      <c r="AY105" s="236"/>
    </row>
    <row r="106" spans="1:51" x14ac:dyDescent="0.3">
      <c r="A106" s="8"/>
      <c r="B106" s="8"/>
      <c r="C106" s="8"/>
      <c r="D106" s="8"/>
      <c r="E106" s="8"/>
      <c r="F106" s="8"/>
      <c r="G106" s="8"/>
      <c r="H106" s="8"/>
      <c r="I106" s="8"/>
      <c r="J106" s="8"/>
      <c r="K106" s="8"/>
      <c r="L106" s="8"/>
      <c r="M106" s="8"/>
      <c r="N106" s="8"/>
      <c r="O106" s="8"/>
      <c r="P106" s="4"/>
      <c r="Q106" s="4"/>
      <c r="U106" s="531"/>
      <c r="V106" s="527"/>
      <c r="W106" s="432"/>
      <c r="AQ106" s="236"/>
      <c r="AR106" s="236"/>
      <c r="AS106" s="236"/>
      <c r="AT106" s="236"/>
      <c r="AU106" s="236"/>
      <c r="AV106" s="236"/>
      <c r="AW106" s="236"/>
      <c r="AX106" s="236"/>
      <c r="AY106" s="236"/>
    </row>
    <row r="107" spans="1:51" x14ac:dyDescent="0.3">
      <c r="A107" s="8"/>
      <c r="B107" s="8"/>
      <c r="C107" s="8"/>
      <c r="D107" s="8"/>
      <c r="E107" s="8"/>
      <c r="F107" s="8"/>
      <c r="G107" s="8"/>
      <c r="H107" s="8"/>
      <c r="I107" s="8"/>
      <c r="J107" s="8"/>
      <c r="K107" s="8"/>
      <c r="L107" s="8"/>
      <c r="M107" s="8"/>
      <c r="N107" s="8"/>
      <c r="O107" s="8"/>
      <c r="P107" s="4"/>
      <c r="Q107" s="4"/>
      <c r="U107" s="531"/>
      <c r="V107" s="527"/>
      <c r="W107" s="432"/>
    </row>
    <row r="108" spans="1:51" x14ac:dyDescent="0.3">
      <c r="A108" s="8"/>
      <c r="B108" s="8"/>
      <c r="C108" s="8"/>
      <c r="D108" s="8"/>
      <c r="E108" s="8"/>
      <c r="F108" s="8"/>
      <c r="G108" s="8"/>
      <c r="H108" s="8"/>
      <c r="I108" s="8"/>
      <c r="J108" s="8"/>
      <c r="K108" s="8"/>
      <c r="L108" s="8"/>
      <c r="M108" s="8"/>
      <c r="N108" s="8"/>
      <c r="O108" s="8"/>
      <c r="P108" s="4"/>
      <c r="Q108" s="4"/>
      <c r="U108" s="541"/>
      <c r="V108" s="539"/>
      <c r="W108" s="540"/>
    </row>
    <row r="109" spans="1:51" x14ac:dyDescent="0.3">
      <c r="A109" s="8"/>
      <c r="B109" s="8"/>
      <c r="C109" s="8"/>
      <c r="D109" s="8"/>
      <c r="E109" s="8"/>
      <c r="F109" s="8"/>
      <c r="G109" s="8"/>
      <c r="H109" s="8"/>
      <c r="I109" s="8"/>
      <c r="J109" s="8"/>
      <c r="K109" s="8"/>
      <c r="L109" s="8"/>
      <c r="M109" s="8"/>
      <c r="N109" s="8"/>
      <c r="O109" s="8"/>
      <c r="P109" s="4"/>
      <c r="Q109" s="4"/>
      <c r="U109" s="531"/>
      <c r="V109" s="527"/>
      <c r="W109" s="432"/>
    </row>
    <row r="110" spans="1:51" ht="15" thickBot="1" x14ac:dyDescent="0.35">
      <c r="A110" s="8"/>
      <c r="B110" s="8"/>
      <c r="C110" s="8"/>
      <c r="D110" s="8"/>
      <c r="E110" s="8"/>
      <c r="F110" s="8"/>
      <c r="G110" s="8"/>
      <c r="H110" s="8"/>
      <c r="I110" s="8"/>
      <c r="J110" s="8"/>
      <c r="K110" s="8"/>
      <c r="L110" s="8"/>
      <c r="M110" s="8"/>
      <c r="N110" s="8"/>
      <c r="O110" s="8"/>
      <c r="P110" s="4"/>
      <c r="Q110" s="4"/>
      <c r="U110" s="532"/>
      <c r="V110" s="527"/>
      <c r="W110" s="432"/>
    </row>
    <row r="111" spans="1:51" x14ac:dyDescent="0.3">
      <c r="A111" s="8"/>
      <c r="B111" s="8"/>
      <c r="C111" s="8"/>
      <c r="D111" s="8"/>
      <c r="E111" s="8"/>
      <c r="F111" s="8"/>
      <c r="G111" s="8"/>
      <c r="H111" s="8"/>
      <c r="I111" s="8"/>
      <c r="J111" s="8"/>
      <c r="K111" s="8"/>
      <c r="L111" s="8"/>
      <c r="M111" s="8"/>
      <c r="N111" s="8"/>
      <c r="O111" s="8"/>
      <c r="P111" s="4"/>
      <c r="Q111" s="4"/>
    </row>
    <row r="112" spans="1:51" x14ac:dyDescent="0.3">
      <c r="A112" s="8"/>
      <c r="B112" s="8"/>
      <c r="C112" s="8"/>
      <c r="D112" s="8"/>
      <c r="E112" s="8"/>
      <c r="F112" s="8"/>
      <c r="G112" s="8"/>
      <c r="H112" s="8"/>
      <c r="I112" s="8"/>
      <c r="J112" s="8"/>
      <c r="K112" s="8"/>
      <c r="L112" s="8"/>
      <c r="M112" s="8"/>
      <c r="N112" s="8"/>
      <c r="O112" s="8"/>
      <c r="P112" s="4"/>
      <c r="Q112" s="4"/>
      <c r="V112" s="542"/>
      <c r="W112" s="543"/>
    </row>
    <row r="113" spans="16:23" s="8" customFormat="1" x14ac:dyDescent="0.3">
      <c r="P113" s="4"/>
      <c r="Q113" s="4"/>
      <c r="U113" s="4"/>
      <c r="V113" s="542"/>
      <c r="W113" s="543"/>
    </row>
    <row r="114" spans="16:23" s="8" customFormat="1" x14ac:dyDescent="0.3">
      <c r="P114" s="4"/>
      <c r="Q114" s="4"/>
    </row>
    <row r="115" spans="16:23" s="8" customFormat="1" x14ac:dyDescent="0.3">
      <c r="P115" s="4"/>
      <c r="Q115" s="4"/>
    </row>
    <row r="116" spans="16:23" s="8" customFormat="1" x14ac:dyDescent="0.3">
      <c r="P116" s="4"/>
      <c r="Q116" s="4"/>
    </row>
    <row r="117" spans="16:23" s="8" customFormat="1" x14ac:dyDescent="0.3">
      <c r="P117" s="4"/>
      <c r="Q117" s="4"/>
    </row>
    <row r="118" spans="16:23" s="8" customFormat="1" x14ac:dyDescent="0.3">
      <c r="P118" s="4"/>
      <c r="Q118" s="4"/>
    </row>
    <row r="119" spans="16:23" s="8" customFormat="1" x14ac:dyDescent="0.3">
      <c r="P119" s="4"/>
      <c r="Q119" s="4"/>
    </row>
    <row r="120" spans="16:23" s="8" customFormat="1" x14ac:dyDescent="0.3">
      <c r="P120" s="4"/>
      <c r="Q120" s="4"/>
    </row>
    <row r="121" spans="16:23" s="8" customFormat="1" x14ac:dyDescent="0.3">
      <c r="P121" s="4"/>
      <c r="Q121" s="4"/>
    </row>
    <row r="122" spans="16:23" s="8" customFormat="1" x14ac:dyDescent="0.3">
      <c r="P122" s="4"/>
      <c r="Q122" s="4"/>
    </row>
    <row r="123" spans="16:23" s="8" customFormat="1" x14ac:dyDescent="0.3">
      <c r="P123" s="4"/>
      <c r="Q123" s="4"/>
    </row>
    <row r="124" spans="16:23" s="8" customFormat="1" x14ac:dyDescent="0.3">
      <c r="P124" s="4"/>
      <c r="Q124" s="4"/>
    </row>
    <row r="125" spans="16:23" s="8" customFormat="1" x14ac:dyDescent="0.3">
      <c r="P125" s="4"/>
      <c r="Q125" s="4"/>
    </row>
    <row r="126" spans="16:23" s="8" customFormat="1" x14ac:dyDescent="0.3">
      <c r="P126" s="4"/>
      <c r="Q126" s="4"/>
    </row>
    <row r="127" spans="16:23" s="8" customFormat="1" x14ac:dyDescent="0.3">
      <c r="P127" s="4"/>
      <c r="Q127" s="4"/>
    </row>
    <row r="128" spans="16:23" s="8" customFormat="1" x14ac:dyDescent="0.3">
      <c r="P128" s="4"/>
      <c r="Q128" s="4"/>
    </row>
    <row r="129" spans="16:17" s="8" customFormat="1" x14ac:dyDescent="0.3">
      <c r="P129" s="4"/>
      <c r="Q129" s="4"/>
    </row>
    <row r="130" spans="16:17" s="8" customFormat="1" x14ac:dyDescent="0.3">
      <c r="P130" s="4"/>
      <c r="Q130" s="4"/>
    </row>
    <row r="131" spans="16:17" s="8" customFormat="1" x14ac:dyDescent="0.3">
      <c r="P131" s="4"/>
      <c r="Q131" s="4"/>
    </row>
    <row r="132" spans="16:17" s="8" customFormat="1" x14ac:dyDescent="0.3">
      <c r="P132" s="4"/>
      <c r="Q132" s="4"/>
    </row>
    <row r="133" spans="16:17" s="8" customFormat="1" x14ac:dyDescent="0.3">
      <c r="P133" s="4"/>
      <c r="Q133" s="4"/>
    </row>
    <row r="134" spans="16:17" s="8" customFormat="1" x14ac:dyDescent="0.3">
      <c r="P134" s="4"/>
      <c r="Q134" s="4"/>
    </row>
    <row r="135" spans="16:17" s="8" customFormat="1" x14ac:dyDescent="0.3">
      <c r="P135" s="4"/>
      <c r="Q135" s="4"/>
    </row>
    <row r="136" spans="16:17" s="8" customFormat="1" x14ac:dyDescent="0.3">
      <c r="P136" s="4"/>
      <c r="Q136" s="4"/>
    </row>
    <row r="137" spans="16:17" s="8" customFormat="1" x14ac:dyDescent="0.3">
      <c r="P137" s="4"/>
      <c r="Q137" s="4"/>
    </row>
    <row r="138" spans="16:17" s="8" customFormat="1" x14ac:dyDescent="0.3">
      <c r="P138" s="4"/>
      <c r="Q138" s="4"/>
    </row>
    <row r="139" spans="16:17" s="8" customFormat="1" x14ac:dyDescent="0.3">
      <c r="P139" s="4"/>
      <c r="Q139" s="4"/>
    </row>
    <row r="140" spans="16:17" s="8" customFormat="1" x14ac:dyDescent="0.3">
      <c r="P140" s="4"/>
      <c r="Q140" s="4"/>
    </row>
    <row r="141" spans="16:17" s="8" customFormat="1" x14ac:dyDescent="0.3">
      <c r="P141" s="4"/>
      <c r="Q141" s="4"/>
    </row>
    <row r="142" spans="16:17" s="8" customFormat="1" x14ac:dyDescent="0.3">
      <c r="P142" s="4"/>
      <c r="Q142" s="4"/>
    </row>
    <row r="143" spans="16:17" s="8" customFormat="1" x14ac:dyDescent="0.3">
      <c r="P143" s="4"/>
      <c r="Q143" s="4"/>
    </row>
    <row r="144" spans="16:17" s="8" customFormat="1" x14ac:dyDescent="0.3">
      <c r="P144" s="4"/>
      <c r="Q144" s="4"/>
    </row>
    <row r="145" spans="16:17" s="8" customFormat="1" x14ac:dyDescent="0.3">
      <c r="P145" s="4"/>
      <c r="Q145" s="4"/>
    </row>
    <row r="146" spans="16:17" s="8" customFormat="1" x14ac:dyDescent="0.3">
      <c r="P146" s="4"/>
      <c r="Q146" s="4"/>
    </row>
    <row r="147" spans="16:17" s="8" customFormat="1" x14ac:dyDescent="0.3">
      <c r="P147" s="4"/>
      <c r="Q147" s="4"/>
    </row>
    <row r="148" spans="16:17" s="8" customFormat="1" x14ac:dyDescent="0.3">
      <c r="P148" s="4"/>
      <c r="Q148" s="4"/>
    </row>
    <row r="149" spans="16:17" s="8" customFormat="1" x14ac:dyDescent="0.3">
      <c r="P149" s="4"/>
      <c r="Q149" s="4"/>
    </row>
    <row r="150" spans="16:17" s="8" customFormat="1" x14ac:dyDescent="0.3">
      <c r="P150" s="4"/>
      <c r="Q150" s="4"/>
    </row>
    <row r="151" spans="16:17" s="8" customFormat="1" x14ac:dyDescent="0.3">
      <c r="P151" s="4"/>
      <c r="Q151" s="4"/>
    </row>
    <row r="152" spans="16:17" s="8" customFormat="1" x14ac:dyDescent="0.3">
      <c r="P152" s="4"/>
      <c r="Q152" s="4"/>
    </row>
    <row r="153" spans="16:17" s="8" customFormat="1" x14ac:dyDescent="0.3">
      <c r="P153" s="4"/>
      <c r="Q153" s="4"/>
    </row>
    <row r="154" spans="16:17" s="8" customFormat="1" x14ac:dyDescent="0.3">
      <c r="P154" s="4"/>
      <c r="Q154" s="4"/>
    </row>
    <row r="155" spans="16:17" s="8" customFormat="1" x14ac:dyDescent="0.3">
      <c r="P155" s="4"/>
      <c r="Q155" s="4"/>
    </row>
    <row r="156" spans="16:17" s="8" customFormat="1" x14ac:dyDescent="0.3">
      <c r="P156" s="4"/>
      <c r="Q156" s="4"/>
    </row>
    <row r="157" spans="16:17" s="8" customFormat="1" x14ac:dyDescent="0.3">
      <c r="P157" s="4"/>
      <c r="Q157" s="4"/>
    </row>
    <row r="158" spans="16:17" s="8" customFormat="1" x14ac:dyDescent="0.3">
      <c r="P158" s="4"/>
      <c r="Q158" s="4"/>
    </row>
    <row r="159" spans="16:17" s="8" customFormat="1" x14ac:dyDescent="0.3">
      <c r="P159" s="4"/>
      <c r="Q159" s="4"/>
    </row>
    <row r="160" spans="16:17" s="8" customFormat="1" x14ac:dyDescent="0.3">
      <c r="P160" s="4"/>
      <c r="Q160" s="4"/>
    </row>
    <row r="161" spans="16:17" s="8" customFormat="1" x14ac:dyDescent="0.3">
      <c r="P161" s="4"/>
      <c r="Q161" s="4"/>
    </row>
    <row r="162" spans="16:17" s="8" customFormat="1" x14ac:dyDescent="0.3">
      <c r="P162" s="4"/>
      <c r="Q162" s="4"/>
    </row>
    <row r="163" spans="16:17" s="8" customFormat="1" x14ac:dyDescent="0.3">
      <c r="P163" s="4"/>
      <c r="Q163" s="4"/>
    </row>
    <row r="164" spans="16:17" s="8" customFormat="1" x14ac:dyDescent="0.3">
      <c r="P164" s="4"/>
      <c r="Q164" s="4"/>
    </row>
    <row r="165" spans="16:17" s="8" customFormat="1" x14ac:dyDescent="0.3">
      <c r="P165" s="4"/>
      <c r="Q165" s="4"/>
    </row>
    <row r="166" spans="16:17" s="8" customFormat="1" x14ac:dyDescent="0.3">
      <c r="P166" s="4"/>
      <c r="Q166" s="4"/>
    </row>
    <row r="167" spans="16:17" s="8" customFormat="1" x14ac:dyDescent="0.3">
      <c r="P167" s="4"/>
      <c r="Q167" s="4"/>
    </row>
    <row r="168" spans="16:17" s="8" customFormat="1" x14ac:dyDescent="0.3">
      <c r="P168" s="4"/>
      <c r="Q168" s="4"/>
    </row>
    <row r="169" spans="16:17" s="8" customFormat="1" x14ac:dyDescent="0.3">
      <c r="P169" s="4"/>
      <c r="Q169" s="4"/>
    </row>
    <row r="170" spans="16:17" s="8" customFormat="1" x14ac:dyDescent="0.3">
      <c r="P170" s="4"/>
      <c r="Q170" s="4"/>
    </row>
    <row r="171" spans="16:17" s="8" customFormat="1" x14ac:dyDescent="0.3">
      <c r="P171" s="4"/>
      <c r="Q171" s="4"/>
    </row>
    <row r="172" spans="16:17" s="8" customFormat="1" x14ac:dyDescent="0.3">
      <c r="P172" s="4"/>
      <c r="Q172" s="4"/>
    </row>
    <row r="173" spans="16:17" s="8" customFormat="1" x14ac:dyDescent="0.3">
      <c r="P173" s="4"/>
      <c r="Q173" s="4"/>
    </row>
    <row r="174" spans="16:17" s="8" customFormat="1" x14ac:dyDescent="0.3">
      <c r="P174" s="4"/>
      <c r="Q174" s="4"/>
    </row>
    <row r="175" spans="16:17" s="8" customFormat="1" x14ac:dyDescent="0.3">
      <c r="P175" s="4"/>
      <c r="Q175" s="4"/>
    </row>
    <row r="176" spans="16:17" s="8" customFormat="1" x14ac:dyDescent="0.3">
      <c r="P176" s="4"/>
      <c r="Q176" s="4"/>
    </row>
    <row r="177" spans="16:17" s="8" customFormat="1" x14ac:dyDescent="0.3">
      <c r="P177" s="4"/>
      <c r="Q177" s="4"/>
    </row>
    <row r="178" spans="16:17" s="8" customFormat="1" x14ac:dyDescent="0.3">
      <c r="P178" s="4"/>
      <c r="Q178" s="4"/>
    </row>
    <row r="179" spans="16:17" s="8" customFormat="1" x14ac:dyDescent="0.3">
      <c r="P179" s="4"/>
      <c r="Q179" s="4"/>
    </row>
    <row r="180" spans="16:17" s="8" customFormat="1" x14ac:dyDescent="0.3">
      <c r="P180" s="4"/>
      <c r="Q180" s="4"/>
    </row>
    <row r="181" spans="16:17" s="8" customFormat="1" x14ac:dyDescent="0.3">
      <c r="P181" s="4"/>
      <c r="Q181" s="4"/>
    </row>
    <row r="182" spans="16:17" s="8" customFormat="1" x14ac:dyDescent="0.3">
      <c r="P182" s="4"/>
      <c r="Q182" s="4"/>
    </row>
    <row r="183" spans="16:17" s="8" customFormat="1" x14ac:dyDescent="0.3">
      <c r="P183" s="4"/>
      <c r="Q183" s="4"/>
    </row>
    <row r="184" spans="16:17" s="8" customFormat="1" x14ac:dyDescent="0.3">
      <c r="P184" s="4"/>
      <c r="Q184" s="4"/>
    </row>
    <row r="185" spans="16:17" s="8" customFormat="1" x14ac:dyDescent="0.3">
      <c r="P185" s="4"/>
      <c r="Q185" s="4"/>
    </row>
    <row r="186" spans="16:17" s="8" customFormat="1" x14ac:dyDescent="0.3">
      <c r="P186" s="4"/>
      <c r="Q186" s="4"/>
    </row>
    <row r="187" spans="16:17" s="8" customFormat="1" x14ac:dyDescent="0.3">
      <c r="P187" s="4"/>
      <c r="Q187" s="4"/>
    </row>
    <row r="188" spans="16:17" s="8" customFormat="1" x14ac:dyDescent="0.3">
      <c r="P188" s="4"/>
      <c r="Q188" s="4"/>
    </row>
    <row r="189" spans="16:17" s="8" customFormat="1" x14ac:dyDescent="0.3">
      <c r="P189" s="4"/>
      <c r="Q189" s="4"/>
    </row>
    <row r="190" spans="16:17" s="8" customFormat="1" x14ac:dyDescent="0.3">
      <c r="P190" s="4"/>
      <c r="Q190" s="4"/>
    </row>
    <row r="191" spans="16:17" s="8" customFormat="1" x14ac:dyDescent="0.3">
      <c r="P191" s="4"/>
      <c r="Q191" s="4"/>
    </row>
    <row r="192" spans="16:17" s="8" customFormat="1" x14ac:dyDescent="0.3">
      <c r="P192" s="4"/>
      <c r="Q192" s="4"/>
    </row>
    <row r="193" spans="16:17" s="8" customFormat="1" x14ac:dyDescent="0.3">
      <c r="P193" s="4"/>
      <c r="Q193" s="4"/>
    </row>
    <row r="194" spans="16:17" s="8" customFormat="1" x14ac:dyDescent="0.3">
      <c r="P194" s="4"/>
      <c r="Q194" s="4"/>
    </row>
    <row r="195" spans="16:17" s="8" customFormat="1" x14ac:dyDescent="0.3">
      <c r="P195" s="4"/>
      <c r="Q195" s="4"/>
    </row>
    <row r="196" spans="16:17" s="8" customFormat="1" x14ac:dyDescent="0.3">
      <c r="P196" s="4"/>
      <c r="Q196" s="4"/>
    </row>
    <row r="197" spans="16:17" s="8" customFormat="1" x14ac:dyDescent="0.3">
      <c r="P197" s="4"/>
      <c r="Q197" s="4"/>
    </row>
    <row r="198" spans="16:17" s="8" customFormat="1" x14ac:dyDescent="0.3">
      <c r="P198" s="4"/>
      <c r="Q198" s="4"/>
    </row>
    <row r="199" spans="16:17" s="8" customFormat="1" x14ac:dyDescent="0.3">
      <c r="P199" s="4"/>
      <c r="Q199" s="4"/>
    </row>
    <row r="200" spans="16:17" s="8" customFormat="1" x14ac:dyDescent="0.3">
      <c r="P200" s="4"/>
      <c r="Q200" s="4"/>
    </row>
    <row r="201" spans="16:17" s="8" customFormat="1" x14ac:dyDescent="0.3">
      <c r="P201" s="4"/>
      <c r="Q201" s="4"/>
    </row>
    <row r="202" spans="16:17" s="8" customFormat="1" x14ac:dyDescent="0.3">
      <c r="P202" s="4"/>
      <c r="Q202" s="4"/>
    </row>
    <row r="203" spans="16:17" s="8" customFormat="1" x14ac:dyDescent="0.3">
      <c r="P203" s="4"/>
      <c r="Q203" s="4"/>
    </row>
    <row r="204" spans="16:17" s="8" customFormat="1" x14ac:dyDescent="0.3">
      <c r="P204" s="4"/>
      <c r="Q204" s="4"/>
    </row>
    <row r="205" spans="16:17" s="8" customFormat="1" x14ac:dyDescent="0.3">
      <c r="P205" s="4"/>
      <c r="Q205" s="4"/>
    </row>
    <row r="206" spans="16:17" s="8" customFormat="1" x14ac:dyDescent="0.3">
      <c r="P206" s="4"/>
      <c r="Q206" s="4"/>
    </row>
    <row r="207" spans="16:17" s="8" customFormat="1" x14ac:dyDescent="0.3">
      <c r="P207" s="4"/>
      <c r="Q207" s="4"/>
    </row>
    <row r="208" spans="16:17" s="8" customFormat="1" x14ac:dyDescent="0.3">
      <c r="P208" s="4"/>
      <c r="Q208" s="4"/>
    </row>
    <row r="209" spans="16:17" s="8" customFormat="1" x14ac:dyDescent="0.3">
      <c r="P209" s="4"/>
      <c r="Q209" s="4"/>
    </row>
    <row r="210" spans="16:17" s="8" customFormat="1" x14ac:dyDescent="0.3">
      <c r="P210" s="4"/>
      <c r="Q210" s="4"/>
    </row>
    <row r="211" spans="16:17" s="8" customFormat="1" x14ac:dyDescent="0.3">
      <c r="P211" s="4"/>
      <c r="Q211" s="4"/>
    </row>
    <row r="212" spans="16:17" s="8" customFormat="1" x14ac:dyDescent="0.3">
      <c r="P212" s="4"/>
      <c r="Q212" s="4"/>
    </row>
    <row r="213" spans="16:17" s="8" customFormat="1" x14ac:dyDescent="0.3">
      <c r="P213" s="4"/>
      <c r="Q213" s="4"/>
    </row>
    <row r="214" spans="16:17" s="8" customFormat="1" x14ac:dyDescent="0.3">
      <c r="P214" s="4"/>
      <c r="Q214" s="4"/>
    </row>
    <row r="215" spans="16:17" s="8" customFormat="1" x14ac:dyDescent="0.3">
      <c r="P215" s="4"/>
      <c r="Q215" s="4"/>
    </row>
    <row r="216" spans="16:17" s="8" customFormat="1" x14ac:dyDescent="0.3">
      <c r="P216" s="4"/>
      <c r="Q216" s="4"/>
    </row>
    <row r="217" spans="16:17" s="8" customFormat="1" x14ac:dyDescent="0.3">
      <c r="P217" s="4"/>
      <c r="Q217" s="4"/>
    </row>
    <row r="218" spans="16:17" s="8" customFormat="1" x14ac:dyDescent="0.3">
      <c r="P218" s="4"/>
      <c r="Q218" s="4"/>
    </row>
    <row r="219" spans="16:17" s="8" customFormat="1" x14ac:dyDescent="0.3">
      <c r="P219" s="4"/>
      <c r="Q219" s="4"/>
    </row>
    <row r="220" spans="16:17" s="8" customFormat="1" x14ac:dyDescent="0.3">
      <c r="P220" s="4"/>
      <c r="Q220" s="4"/>
    </row>
  </sheetData>
  <mergeCells count="7">
    <mergeCell ref="AQ3:AY4"/>
    <mergeCell ref="D4:F4"/>
    <mergeCell ref="G3:O3"/>
    <mergeCell ref="P3:X3"/>
    <mergeCell ref="D3:F3"/>
    <mergeCell ref="AH3:AP3"/>
    <mergeCell ref="Y3:AG4"/>
  </mergeCell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1B53645C-12D9-4017-B81B-F08E028F4A99}">
            <xm:f>ABS(G8-'\Users\jwilliamson\Dropbox\FPET Data\Indicator 1-4 Calculations\[Indicators 1-4 Annual Report Consolidated 2.9.16.xlsx]2016 Update (Jan 2016) v1'!#REF!)&gt;0.1</xm:f>
            <x14:dxf>
              <fill>
                <patternFill>
                  <bgColor rgb="FFFFCC66"/>
                </patternFill>
              </fill>
            </x14:dxf>
          </x14:cfRule>
          <xm:sqref>G8:O8</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C00000"/>
  </sheetPr>
  <dimension ref="A4:O246"/>
  <sheetViews>
    <sheetView workbookViewId="0">
      <selection activeCell="H33" sqref="H33"/>
    </sheetView>
  </sheetViews>
  <sheetFormatPr defaultRowHeight="14.4" x14ac:dyDescent="0.3"/>
  <cols>
    <col min="4" max="4" width="27.5546875" style="27" customWidth="1"/>
    <col min="5" max="5" width="9.109375" style="9"/>
    <col min="6" max="6" width="12.5546875" style="196" customWidth="1"/>
  </cols>
  <sheetData>
    <row r="4" spans="1:15" x14ac:dyDescent="0.3">
      <c r="A4" t="s">
        <v>758</v>
      </c>
    </row>
    <row r="5" spans="1:15" x14ac:dyDescent="0.3">
      <c r="C5" s="186" t="s">
        <v>569</v>
      </c>
      <c r="D5" s="27" t="s">
        <v>29</v>
      </c>
      <c r="E5" s="9" t="s">
        <v>235</v>
      </c>
      <c r="F5" s="196" t="s">
        <v>570</v>
      </c>
    </row>
    <row r="6" spans="1:15" x14ac:dyDescent="0.3">
      <c r="C6" s="186">
        <v>108</v>
      </c>
      <c r="D6" s="191" t="s">
        <v>57</v>
      </c>
      <c r="E6" s="9" t="s">
        <v>238</v>
      </c>
      <c r="F6" s="191" t="s">
        <v>240</v>
      </c>
      <c r="J6" s="179" t="s">
        <v>54</v>
      </c>
      <c r="K6" t="str">
        <f>VLOOKUP(J6,$D$6:$F$246,3,FALSE)</f>
        <v>South Asia</v>
      </c>
      <c r="O6" s="9"/>
    </row>
    <row r="7" spans="1:15" x14ac:dyDescent="0.3">
      <c r="B7" s="9"/>
      <c r="C7" s="187">
        <v>174</v>
      </c>
      <c r="D7" s="192" t="s">
        <v>61</v>
      </c>
      <c r="E7" s="9" t="s">
        <v>238</v>
      </c>
      <c r="F7" s="191" t="s">
        <v>240</v>
      </c>
      <c r="J7" s="179" t="s">
        <v>30</v>
      </c>
      <c r="K7" s="9" t="str">
        <f t="shared" ref="K7:K70" si="0">VLOOKUP(J7,$D$6:$F$246,3,FALSE)</f>
        <v>South Asia</v>
      </c>
      <c r="O7" s="9" t="s">
        <v>238</v>
      </c>
    </row>
    <row r="8" spans="1:15" x14ac:dyDescent="0.3">
      <c r="B8" s="9"/>
      <c r="C8" s="186">
        <v>262</v>
      </c>
      <c r="D8" s="191" t="s">
        <v>64</v>
      </c>
      <c r="E8" s="9" t="s">
        <v>238</v>
      </c>
      <c r="F8" s="191" t="s">
        <v>240</v>
      </c>
      <c r="J8" s="179" t="s">
        <v>55</v>
      </c>
      <c r="K8" s="9" t="str">
        <f t="shared" si="0"/>
        <v>Western Africa</v>
      </c>
      <c r="O8" s="9" t="s">
        <v>240</v>
      </c>
    </row>
    <row r="9" spans="1:15" x14ac:dyDescent="0.3">
      <c r="B9" s="9"/>
      <c r="C9" s="187">
        <v>232</v>
      </c>
      <c r="D9" s="192" t="s">
        <v>66</v>
      </c>
      <c r="E9" s="9" t="s">
        <v>238</v>
      </c>
      <c r="F9" s="191" t="s">
        <v>240</v>
      </c>
      <c r="J9" s="179" t="s">
        <v>56</v>
      </c>
      <c r="K9" s="9" t="str">
        <f t="shared" si="0"/>
        <v>South Asia</v>
      </c>
      <c r="O9" s="9" t="s">
        <v>241</v>
      </c>
    </row>
    <row r="10" spans="1:15" x14ac:dyDescent="0.3">
      <c r="B10" s="9"/>
      <c r="C10" s="186">
        <v>231</v>
      </c>
      <c r="D10" s="191" t="s">
        <v>32</v>
      </c>
      <c r="E10" s="9" t="s">
        <v>238</v>
      </c>
      <c r="F10" s="191" t="s">
        <v>240</v>
      </c>
      <c r="J10" s="179" t="s">
        <v>165</v>
      </c>
      <c r="K10" s="9" t="str">
        <f t="shared" si="0"/>
        <v>South America</v>
      </c>
      <c r="O10" s="9" t="s">
        <v>242</v>
      </c>
    </row>
    <row r="11" spans="1:15" x14ac:dyDescent="0.3">
      <c r="B11" s="9"/>
      <c r="C11" s="187">
        <v>404</v>
      </c>
      <c r="D11" s="192" t="s">
        <v>36</v>
      </c>
      <c r="E11" s="9" t="s">
        <v>238</v>
      </c>
      <c r="F11" s="191" t="s">
        <v>240</v>
      </c>
      <c r="J11" s="179" t="s">
        <v>31</v>
      </c>
      <c r="K11" s="9" t="str">
        <f t="shared" si="0"/>
        <v>Western Africa</v>
      </c>
      <c r="O11" s="9" t="s">
        <v>243</v>
      </c>
    </row>
    <row r="12" spans="1:15" x14ac:dyDescent="0.3">
      <c r="B12" s="9"/>
      <c r="C12" s="186">
        <v>450</v>
      </c>
      <c r="D12" s="191" t="s">
        <v>75</v>
      </c>
      <c r="E12" s="9" t="s">
        <v>238</v>
      </c>
      <c r="F12" s="191" t="s">
        <v>240</v>
      </c>
      <c r="J12" s="179" t="s">
        <v>57</v>
      </c>
      <c r="K12" s="9" t="str">
        <f t="shared" si="0"/>
        <v>Eastern Africa</v>
      </c>
      <c r="O12" s="9" t="s">
        <v>244</v>
      </c>
    </row>
    <row r="13" spans="1:15" x14ac:dyDescent="0.3">
      <c r="B13" s="9"/>
      <c r="C13" s="187">
        <v>454</v>
      </c>
      <c r="D13" s="192" t="s">
        <v>37</v>
      </c>
      <c r="E13" s="9" t="s">
        <v>238</v>
      </c>
      <c r="F13" s="191" t="s">
        <v>240</v>
      </c>
      <c r="J13" s="179" t="s">
        <v>58</v>
      </c>
      <c r="K13" s="9" t="str">
        <f t="shared" si="0"/>
        <v>Southeast Asia</v>
      </c>
      <c r="O13" s="9" t="s">
        <v>245</v>
      </c>
    </row>
    <row r="14" spans="1:15" x14ac:dyDescent="0.3">
      <c r="B14" s="9"/>
      <c r="C14" s="186">
        <v>480</v>
      </c>
      <c r="D14" s="191" t="s">
        <v>287</v>
      </c>
      <c r="E14" s="9" t="s">
        <v>238</v>
      </c>
      <c r="F14" s="191" t="s">
        <v>240</v>
      </c>
      <c r="J14" s="179" t="s">
        <v>59</v>
      </c>
      <c r="K14" s="9" t="str">
        <f t="shared" si="0"/>
        <v>Middle Africa</v>
      </c>
      <c r="O14" s="9" t="s">
        <v>246</v>
      </c>
    </row>
    <row r="15" spans="1:15" x14ac:dyDescent="0.3">
      <c r="B15" s="9"/>
      <c r="C15" s="188">
        <v>175</v>
      </c>
      <c r="D15" s="193" t="s">
        <v>288</v>
      </c>
      <c r="E15" s="9" t="s">
        <v>238</v>
      </c>
      <c r="F15" s="191" t="s">
        <v>240</v>
      </c>
      <c r="J15" s="179" t="s">
        <v>521</v>
      </c>
      <c r="K15" s="9" t="str">
        <f t="shared" si="0"/>
        <v>Middle Africa</v>
      </c>
      <c r="O15" t="s">
        <v>640</v>
      </c>
    </row>
    <row r="16" spans="1:15" x14ac:dyDescent="0.3">
      <c r="B16" s="9"/>
      <c r="C16" s="186">
        <v>508</v>
      </c>
      <c r="D16" s="191" t="s">
        <v>38</v>
      </c>
      <c r="E16" s="9" t="s">
        <v>238</v>
      </c>
      <c r="F16" s="191" t="s">
        <v>240</v>
      </c>
      <c r="J16" s="179" t="s">
        <v>60</v>
      </c>
      <c r="K16" s="9" t="str">
        <f t="shared" si="0"/>
        <v>Middle Africa</v>
      </c>
      <c r="O16" s="9" t="s">
        <v>305</v>
      </c>
    </row>
    <row r="17" spans="2:15" x14ac:dyDescent="0.3">
      <c r="B17" s="9"/>
      <c r="C17" s="187">
        <v>638</v>
      </c>
      <c r="D17" s="192" t="s">
        <v>289</v>
      </c>
      <c r="E17" s="9" t="s">
        <v>238</v>
      </c>
      <c r="F17" s="191" t="s">
        <v>240</v>
      </c>
      <c r="J17" s="179" t="s">
        <v>61</v>
      </c>
      <c r="K17" s="9" t="str">
        <f t="shared" si="0"/>
        <v>Eastern Africa</v>
      </c>
      <c r="O17" s="9" t="s">
        <v>247</v>
      </c>
    </row>
    <row r="18" spans="2:15" x14ac:dyDescent="0.3">
      <c r="B18" s="9"/>
      <c r="C18" s="186">
        <v>646</v>
      </c>
      <c r="D18" s="191" t="s">
        <v>43</v>
      </c>
      <c r="E18" s="9" t="s">
        <v>238</v>
      </c>
      <c r="F18" s="191" t="s">
        <v>240</v>
      </c>
      <c r="J18" s="179" t="s">
        <v>62</v>
      </c>
      <c r="K18" s="9" t="str">
        <f t="shared" si="0"/>
        <v>Middle Africa</v>
      </c>
      <c r="O18" s="9" t="s">
        <v>248</v>
      </c>
    </row>
    <row r="19" spans="2:15" x14ac:dyDescent="0.3">
      <c r="B19" s="9"/>
      <c r="C19" s="187">
        <v>690</v>
      </c>
      <c r="D19" s="192" t="s">
        <v>290</v>
      </c>
      <c r="E19" s="9" t="s">
        <v>238</v>
      </c>
      <c r="F19" s="191" t="s">
        <v>240</v>
      </c>
      <c r="J19" s="179" t="s">
        <v>63</v>
      </c>
      <c r="K19" s="9" t="str">
        <f t="shared" si="0"/>
        <v>Western Africa</v>
      </c>
      <c r="O19" s="9" t="s">
        <v>249</v>
      </c>
    </row>
    <row r="20" spans="2:15" x14ac:dyDescent="0.3">
      <c r="B20" s="9"/>
      <c r="C20" s="186">
        <v>706</v>
      </c>
      <c r="D20" s="191" t="s">
        <v>84</v>
      </c>
      <c r="E20" s="9" t="s">
        <v>238</v>
      </c>
      <c r="F20" s="191" t="s">
        <v>240</v>
      </c>
      <c r="J20" s="179" t="s">
        <v>115</v>
      </c>
      <c r="K20" s="9" t="str">
        <f t="shared" si="0"/>
        <v>East Asia, incl. China</v>
      </c>
      <c r="O20" s="9" t="s">
        <v>250</v>
      </c>
    </row>
    <row r="21" spans="2:15" x14ac:dyDescent="0.3">
      <c r="B21" s="9"/>
      <c r="C21" s="187">
        <v>728</v>
      </c>
      <c r="D21" s="192" t="s">
        <v>85</v>
      </c>
      <c r="E21" s="9" t="s">
        <v>238</v>
      </c>
      <c r="F21" s="191" t="s">
        <v>240</v>
      </c>
      <c r="J21" s="179" t="s">
        <v>178</v>
      </c>
      <c r="K21" s="9" t="str">
        <f t="shared" si="0"/>
        <v>Middle Africa</v>
      </c>
      <c r="O21" s="9" t="s">
        <v>251</v>
      </c>
    </row>
    <row r="22" spans="2:15" x14ac:dyDescent="0.3">
      <c r="B22" s="9"/>
      <c r="C22" s="186">
        <v>800</v>
      </c>
      <c r="D22" s="191" t="s">
        <v>47</v>
      </c>
      <c r="E22" s="9" t="s">
        <v>238</v>
      </c>
      <c r="F22" s="191" t="s">
        <v>240</v>
      </c>
      <c r="J22" s="179" t="s">
        <v>64</v>
      </c>
      <c r="K22" s="9" t="str">
        <f t="shared" si="0"/>
        <v>Eastern Africa</v>
      </c>
      <c r="O22" s="9" t="s">
        <v>252</v>
      </c>
    </row>
    <row r="23" spans="2:15" x14ac:dyDescent="0.3">
      <c r="B23" s="9"/>
      <c r="C23" s="187">
        <v>834</v>
      </c>
      <c r="D23" s="192" t="s">
        <v>210</v>
      </c>
      <c r="E23" s="9" t="s">
        <v>238</v>
      </c>
      <c r="F23" s="191" t="s">
        <v>240</v>
      </c>
      <c r="J23" s="179" t="s">
        <v>65</v>
      </c>
      <c r="K23" s="9" t="str">
        <f t="shared" si="0"/>
        <v>Northern Africa</v>
      </c>
      <c r="O23" s="9" t="s">
        <v>253</v>
      </c>
    </row>
    <row r="24" spans="2:15" x14ac:dyDescent="0.3">
      <c r="B24" s="9"/>
      <c r="C24" s="186">
        <v>894</v>
      </c>
      <c r="D24" s="191" t="s">
        <v>48</v>
      </c>
      <c r="E24" s="9" t="s">
        <v>238</v>
      </c>
      <c r="F24" s="191" t="s">
        <v>240</v>
      </c>
      <c r="J24" s="179" t="s">
        <v>66</v>
      </c>
      <c r="K24" s="9" t="str">
        <f t="shared" si="0"/>
        <v>Eastern Africa</v>
      </c>
      <c r="O24" s="9"/>
    </row>
    <row r="25" spans="2:15" x14ac:dyDescent="0.3">
      <c r="B25" s="9"/>
      <c r="C25" s="187">
        <v>716</v>
      </c>
      <c r="D25" s="192" t="s">
        <v>49</v>
      </c>
      <c r="E25" s="9" t="s">
        <v>238</v>
      </c>
      <c r="F25" s="191" t="s">
        <v>240</v>
      </c>
      <c r="J25" s="179" t="s">
        <v>32</v>
      </c>
      <c r="K25" s="9" t="str">
        <f t="shared" si="0"/>
        <v>Eastern Africa</v>
      </c>
      <c r="O25" s="9"/>
    </row>
    <row r="26" spans="2:15" x14ac:dyDescent="0.3">
      <c r="B26" s="9"/>
      <c r="C26" s="187">
        <v>24</v>
      </c>
      <c r="D26" s="192" t="s">
        <v>291</v>
      </c>
      <c r="E26" s="9" t="s">
        <v>238</v>
      </c>
      <c r="F26" s="191" t="s">
        <v>241</v>
      </c>
      <c r="J26" s="179" t="s">
        <v>67</v>
      </c>
      <c r="K26" s="9" t="str">
        <f t="shared" si="0"/>
        <v>Western Africa</v>
      </c>
      <c r="O26" s="9"/>
    </row>
    <row r="27" spans="2:15" x14ac:dyDescent="0.3">
      <c r="B27" s="9"/>
      <c r="C27" s="186">
        <v>120</v>
      </c>
      <c r="D27" s="191" t="s">
        <v>59</v>
      </c>
      <c r="E27" s="9" t="s">
        <v>238</v>
      </c>
      <c r="F27" s="191" t="s">
        <v>241</v>
      </c>
      <c r="J27" s="179" t="s">
        <v>33</v>
      </c>
      <c r="K27" s="9" t="str">
        <f t="shared" si="0"/>
        <v>Western Africa</v>
      </c>
    </row>
    <row r="28" spans="2:15" x14ac:dyDescent="0.3">
      <c r="B28" s="9"/>
      <c r="C28" s="187">
        <v>140</v>
      </c>
      <c r="D28" s="192" t="s">
        <v>521</v>
      </c>
      <c r="E28" s="9" t="s">
        <v>238</v>
      </c>
      <c r="F28" s="191" t="s">
        <v>241</v>
      </c>
      <c r="J28" s="179" t="s">
        <v>68</v>
      </c>
      <c r="K28" s="9" t="str">
        <f t="shared" si="0"/>
        <v>Western Africa</v>
      </c>
    </row>
    <row r="29" spans="2:15" x14ac:dyDescent="0.3">
      <c r="B29" s="9"/>
      <c r="C29" s="186">
        <v>148</v>
      </c>
      <c r="D29" s="191" t="s">
        <v>60</v>
      </c>
      <c r="E29" s="9" t="s">
        <v>238</v>
      </c>
      <c r="F29" s="191" t="s">
        <v>241</v>
      </c>
      <c r="J29" s="179" t="s">
        <v>69</v>
      </c>
      <c r="K29" s="9" t="str">
        <f t="shared" si="0"/>
        <v>Western Africa</v>
      </c>
    </row>
    <row r="30" spans="2:15" x14ac:dyDescent="0.3">
      <c r="B30" s="9"/>
      <c r="C30" s="187">
        <v>178</v>
      </c>
      <c r="D30" s="192" t="s">
        <v>62</v>
      </c>
      <c r="E30" s="9" t="s">
        <v>238</v>
      </c>
      <c r="F30" s="191" t="s">
        <v>241</v>
      </c>
      <c r="J30" s="179" t="s">
        <v>70</v>
      </c>
      <c r="K30" s="9" t="str">
        <f t="shared" si="0"/>
        <v>Caribbean</v>
      </c>
    </row>
    <row r="31" spans="2:15" x14ac:dyDescent="0.3">
      <c r="B31" s="9"/>
      <c r="C31" s="186">
        <v>180</v>
      </c>
      <c r="D31" s="191" t="s">
        <v>178</v>
      </c>
      <c r="E31" s="9" t="s">
        <v>238</v>
      </c>
      <c r="F31" s="191" t="s">
        <v>241</v>
      </c>
      <c r="J31" s="179" t="s">
        <v>71</v>
      </c>
      <c r="K31" s="9" t="str">
        <f t="shared" si="0"/>
        <v>Central America</v>
      </c>
    </row>
    <row r="32" spans="2:15" x14ac:dyDescent="0.3">
      <c r="B32" s="9"/>
      <c r="C32" s="187">
        <v>226</v>
      </c>
      <c r="D32" s="192" t="s">
        <v>292</v>
      </c>
      <c r="E32" s="9" t="s">
        <v>238</v>
      </c>
      <c r="F32" s="191" t="s">
        <v>241</v>
      </c>
      <c r="J32" s="179" t="s">
        <v>34</v>
      </c>
      <c r="K32" s="9" t="str">
        <f t="shared" si="0"/>
        <v>South Asia</v>
      </c>
    </row>
    <row r="33" spans="2:11" x14ac:dyDescent="0.3">
      <c r="B33" s="9"/>
      <c r="C33" s="186">
        <v>266</v>
      </c>
      <c r="D33" s="191" t="s">
        <v>187</v>
      </c>
      <c r="E33" s="9" t="s">
        <v>238</v>
      </c>
      <c r="F33" s="191" t="s">
        <v>241</v>
      </c>
      <c r="J33" s="179" t="s">
        <v>35</v>
      </c>
      <c r="K33" s="9" t="str">
        <f t="shared" si="0"/>
        <v>Southeast Asia</v>
      </c>
    </row>
    <row r="34" spans="2:11" x14ac:dyDescent="0.3">
      <c r="B34" s="9"/>
      <c r="C34" s="187">
        <v>678</v>
      </c>
      <c r="D34" s="192" t="s">
        <v>83</v>
      </c>
      <c r="E34" s="9" t="s">
        <v>238</v>
      </c>
      <c r="F34" s="191" t="s">
        <v>241</v>
      </c>
      <c r="J34" s="179" t="s">
        <v>72</v>
      </c>
      <c r="K34" s="9" t="str">
        <f t="shared" si="0"/>
        <v>Western Asia</v>
      </c>
    </row>
    <row r="35" spans="2:11" x14ac:dyDescent="0.3">
      <c r="B35" s="9"/>
      <c r="C35" s="187">
        <v>12</v>
      </c>
      <c r="D35" s="192" t="s">
        <v>293</v>
      </c>
      <c r="E35" s="9" t="s">
        <v>238</v>
      </c>
      <c r="F35" s="191" t="s">
        <v>244</v>
      </c>
      <c r="J35" s="179" t="s">
        <v>36</v>
      </c>
      <c r="K35" s="9" t="str">
        <f t="shared" si="0"/>
        <v>Eastern Africa</v>
      </c>
    </row>
    <row r="36" spans="2:11" x14ac:dyDescent="0.3">
      <c r="B36" s="9"/>
      <c r="C36" s="186">
        <v>818</v>
      </c>
      <c r="D36" s="191" t="s">
        <v>65</v>
      </c>
      <c r="E36" s="9" t="s">
        <v>238</v>
      </c>
      <c r="F36" s="191" t="s">
        <v>244</v>
      </c>
      <c r="J36" s="179" t="s">
        <v>796</v>
      </c>
      <c r="K36" s="9" t="str">
        <f t="shared" si="0"/>
        <v>Central Asia</v>
      </c>
    </row>
    <row r="37" spans="2:11" x14ac:dyDescent="0.3">
      <c r="B37" s="9"/>
      <c r="C37" s="187">
        <v>434</v>
      </c>
      <c r="D37" s="192" t="s">
        <v>294</v>
      </c>
      <c r="E37" s="9" t="s">
        <v>238</v>
      </c>
      <c r="F37" s="191" t="s">
        <v>244</v>
      </c>
      <c r="J37" s="179" t="s">
        <v>116</v>
      </c>
      <c r="K37" s="9" t="str">
        <f t="shared" si="0"/>
        <v>Southeast Asia</v>
      </c>
    </row>
    <row r="38" spans="2:11" x14ac:dyDescent="0.3">
      <c r="B38" s="9"/>
      <c r="C38" s="186">
        <v>504</v>
      </c>
      <c r="D38" s="191" t="s">
        <v>202</v>
      </c>
      <c r="E38" s="9" t="s">
        <v>238</v>
      </c>
      <c r="F38" s="191" t="s">
        <v>244</v>
      </c>
      <c r="J38" s="179" t="s">
        <v>73</v>
      </c>
      <c r="K38" s="9" t="str">
        <f t="shared" si="0"/>
        <v>Southern Africa</v>
      </c>
    </row>
    <row r="39" spans="2:11" x14ac:dyDescent="0.3">
      <c r="B39" s="9"/>
      <c r="C39" s="187">
        <v>729</v>
      </c>
      <c r="D39" s="192" t="s">
        <v>87</v>
      </c>
      <c r="E39" s="9" t="s">
        <v>238</v>
      </c>
      <c r="F39" s="191" t="s">
        <v>244</v>
      </c>
      <c r="J39" s="179" t="s">
        <v>74</v>
      </c>
      <c r="K39" s="9" t="str">
        <f t="shared" si="0"/>
        <v>Western Africa</v>
      </c>
    </row>
    <row r="40" spans="2:11" x14ac:dyDescent="0.3">
      <c r="B40" s="9"/>
      <c r="C40" s="186">
        <v>788</v>
      </c>
      <c r="D40" s="191" t="s">
        <v>295</v>
      </c>
      <c r="E40" s="9" t="s">
        <v>238</v>
      </c>
      <c r="F40" s="191" t="s">
        <v>244</v>
      </c>
      <c r="J40" s="179" t="s">
        <v>75</v>
      </c>
      <c r="K40" s="9" t="str">
        <f t="shared" si="0"/>
        <v>Eastern Africa</v>
      </c>
    </row>
    <row r="41" spans="2:11" x14ac:dyDescent="0.3">
      <c r="B41" s="9"/>
      <c r="C41" s="187">
        <v>732</v>
      </c>
      <c r="D41" s="192" t="s">
        <v>93</v>
      </c>
      <c r="E41" s="9" t="s">
        <v>238</v>
      </c>
      <c r="F41" s="191" t="s">
        <v>244</v>
      </c>
      <c r="J41" s="179" t="s">
        <v>37</v>
      </c>
      <c r="K41" s="9" t="str">
        <f t="shared" si="0"/>
        <v>Eastern Africa</v>
      </c>
    </row>
    <row r="42" spans="2:11" x14ac:dyDescent="0.3">
      <c r="B42" s="9"/>
      <c r="C42" s="187">
        <v>72</v>
      </c>
      <c r="D42" s="192" t="s">
        <v>296</v>
      </c>
      <c r="E42" s="9" t="s">
        <v>238</v>
      </c>
      <c r="F42" s="191" t="s">
        <v>242</v>
      </c>
      <c r="J42" s="179" t="s">
        <v>76</v>
      </c>
      <c r="K42" s="9" t="str">
        <f t="shared" si="0"/>
        <v>Western Africa</v>
      </c>
    </row>
    <row r="43" spans="2:11" x14ac:dyDescent="0.3">
      <c r="B43" s="9"/>
      <c r="C43" s="186">
        <v>426</v>
      </c>
      <c r="D43" s="191" t="s">
        <v>73</v>
      </c>
      <c r="E43" s="9" t="s">
        <v>238</v>
      </c>
      <c r="F43" s="191" t="s">
        <v>242</v>
      </c>
      <c r="J43" s="179" t="s">
        <v>77</v>
      </c>
      <c r="K43" s="9" t="str">
        <f t="shared" si="0"/>
        <v>Western Africa</v>
      </c>
    </row>
    <row r="44" spans="2:11" x14ac:dyDescent="0.3">
      <c r="B44" s="9"/>
      <c r="C44" s="187">
        <v>516</v>
      </c>
      <c r="D44" s="192" t="s">
        <v>204</v>
      </c>
      <c r="E44" s="9" t="s">
        <v>238</v>
      </c>
      <c r="F44" s="191" t="s">
        <v>242</v>
      </c>
      <c r="J44" s="179" t="s">
        <v>78</v>
      </c>
      <c r="K44" s="9" t="str">
        <f t="shared" si="0"/>
        <v>East Asia, incl. China</v>
      </c>
    </row>
    <row r="45" spans="2:11" x14ac:dyDescent="0.3">
      <c r="B45" s="9"/>
      <c r="C45" s="186">
        <v>710</v>
      </c>
      <c r="D45" s="191" t="s">
        <v>53</v>
      </c>
      <c r="E45" s="9" t="s">
        <v>238</v>
      </c>
      <c r="F45" s="191" t="s">
        <v>242</v>
      </c>
      <c r="J45" s="179" t="s">
        <v>38</v>
      </c>
      <c r="K45" s="9" t="str">
        <f t="shared" si="0"/>
        <v>Eastern Africa</v>
      </c>
    </row>
    <row r="46" spans="2:11" x14ac:dyDescent="0.3">
      <c r="B46" s="9"/>
      <c r="C46" s="187">
        <v>748</v>
      </c>
      <c r="D46" s="192" t="s">
        <v>211</v>
      </c>
      <c r="E46" s="9" t="s">
        <v>238</v>
      </c>
      <c r="F46" s="191" t="s">
        <v>242</v>
      </c>
      <c r="J46" s="179" t="s">
        <v>79</v>
      </c>
      <c r="K46" s="9" t="str">
        <f t="shared" si="0"/>
        <v>Southeast Asia</v>
      </c>
    </row>
    <row r="47" spans="2:11" x14ac:dyDescent="0.3">
      <c r="B47" s="9"/>
      <c r="C47" s="187">
        <v>204</v>
      </c>
      <c r="D47" s="192" t="s">
        <v>55</v>
      </c>
      <c r="E47" s="9" t="s">
        <v>238</v>
      </c>
      <c r="F47" s="191" t="s">
        <v>243</v>
      </c>
      <c r="J47" s="179" t="s">
        <v>80</v>
      </c>
      <c r="K47" s="9" t="str">
        <f t="shared" si="0"/>
        <v>South Asia</v>
      </c>
    </row>
    <row r="48" spans="2:11" x14ac:dyDescent="0.3">
      <c r="B48" s="9"/>
      <c r="C48" s="186">
        <v>854</v>
      </c>
      <c r="D48" s="191" t="s">
        <v>31</v>
      </c>
      <c r="E48" s="9" t="s">
        <v>238</v>
      </c>
      <c r="F48" s="191" t="s">
        <v>243</v>
      </c>
      <c r="J48" s="179" t="s">
        <v>81</v>
      </c>
      <c r="K48" s="9" t="str">
        <f t="shared" si="0"/>
        <v>Central America</v>
      </c>
    </row>
    <row r="49" spans="2:11" x14ac:dyDescent="0.3">
      <c r="B49" s="9"/>
      <c r="C49" s="187">
        <v>132</v>
      </c>
      <c r="D49" s="192" t="s">
        <v>495</v>
      </c>
      <c r="E49" s="9" t="s">
        <v>238</v>
      </c>
      <c r="F49" s="191" t="s">
        <v>243</v>
      </c>
      <c r="J49" s="179" t="s">
        <v>39</v>
      </c>
      <c r="K49" s="9" t="str">
        <f t="shared" si="0"/>
        <v>Western Africa</v>
      </c>
    </row>
    <row r="50" spans="2:11" x14ac:dyDescent="0.3">
      <c r="B50" s="9"/>
      <c r="C50" s="186">
        <v>384</v>
      </c>
      <c r="D50" s="191" t="s">
        <v>63</v>
      </c>
      <c r="E50" s="9" t="s">
        <v>238</v>
      </c>
      <c r="F50" s="191" t="s">
        <v>243</v>
      </c>
      <c r="J50" s="179" t="s">
        <v>40</v>
      </c>
      <c r="K50" s="9" t="str">
        <f t="shared" si="0"/>
        <v>Western Africa</v>
      </c>
    </row>
    <row r="51" spans="2:11" x14ac:dyDescent="0.3">
      <c r="B51" s="9"/>
      <c r="C51" s="187">
        <v>270</v>
      </c>
      <c r="D51" s="192" t="s">
        <v>67</v>
      </c>
      <c r="E51" s="9" t="s">
        <v>238</v>
      </c>
      <c r="F51" s="191" t="s">
        <v>243</v>
      </c>
      <c r="J51" s="179" t="s">
        <v>117</v>
      </c>
      <c r="K51" s="9" t="str">
        <f t="shared" si="0"/>
        <v>Western Asia</v>
      </c>
    </row>
    <row r="52" spans="2:11" x14ac:dyDescent="0.3">
      <c r="B52" s="9"/>
      <c r="C52" s="186">
        <v>288</v>
      </c>
      <c r="D52" s="191" t="s">
        <v>33</v>
      </c>
      <c r="E52" s="9" t="s">
        <v>238</v>
      </c>
      <c r="F52" s="191" t="s">
        <v>243</v>
      </c>
      <c r="J52" s="179" t="s">
        <v>41</v>
      </c>
      <c r="K52" s="9" t="str">
        <f t="shared" si="0"/>
        <v>South Asia</v>
      </c>
    </row>
    <row r="53" spans="2:11" x14ac:dyDescent="0.3">
      <c r="B53" s="9"/>
      <c r="C53" s="187">
        <v>324</v>
      </c>
      <c r="D53" s="192" t="s">
        <v>68</v>
      </c>
      <c r="E53" s="9" t="s">
        <v>238</v>
      </c>
      <c r="F53" s="191" t="s">
        <v>243</v>
      </c>
      <c r="J53" s="179" t="s">
        <v>82</v>
      </c>
      <c r="K53" s="9" t="str">
        <f t="shared" si="0"/>
        <v>Oceania</v>
      </c>
    </row>
    <row r="54" spans="2:11" x14ac:dyDescent="0.3">
      <c r="B54" s="9"/>
      <c r="C54" s="186">
        <v>624</v>
      </c>
      <c r="D54" s="191" t="s">
        <v>69</v>
      </c>
      <c r="E54" s="9" t="s">
        <v>238</v>
      </c>
      <c r="F54" s="191" t="s">
        <v>243</v>
      </c>
      <c r="J54" s="179" t="s">
        <v>42</v>
      </c>
      <c r="K54" s="9" t="str">
        <f t="shared" si="0"/>
        <v>Southeast Asia</v>
      </c>
    </row>
    <row r="55" spans="2:11" x14ac:dyDescent="0.3">
      <c r="B55" s="9"/>
      <c r="C55" s="187">
        <v>430</v>
      </c>
      <c r="D55" s="192" t="s">
        <v>74</v>
      </c>
      <c r="E55" s="9" t="s">
        <v>238</v>
      </c>
      <c r="F55" s="191" t="s">
        <v>243</v>
      </c>
      <c r="J55" s="179" t="s">
        <v>43</v>
      </c>
      <c r="K55" s="9" t="str">
        <f t="shared" si="0"/>
        <v>Eastern Africa</v>
      </c>
    </row>
    <row r="56" spans="2:11" x14ac:dyDescent="0.3">
      <c r="B56" s="9"/>
      <c r="C56" s="186">
        <v>466</v>
      </c>
      <c r="D56" s="191" t="s">
        <v>76</v>
      </c>
      <c r="E56" s="9" t="s">
        <v>238</v>
      </c>
      <c r="F56" s="191" t="s">
        <v>243</v>
      </c>
      <c r="J56" s="179" t="s">
        <v>83</v>
      </c>
      <c r="K56" s="9" t="str">
        <f t="shared" si="0"/>
        <v>Middle Africa</v>
      </c>
    </row>
    <row r="57" spans="2:11" x14ac:dyDescent="0.3">
      <c r="B57" s="9"/>
      <c r="C57" s="187">
        <v>478</v>
      </c>
      <c r="D57" s="192" t="s">
        <v>77</v>
      </c>
      <c r="E57" s="9" t="s">
        <v>238</v>
      </c>
      <c r="F57" s="191" t="s">
        <v>243</v>
      </c>
      <c r="J57" s="179" t="s">
        <v>44</v>
      </c>
      <c r="K57" s="9" t="str">
        <f t="shared" si="0"/>
        <v>Western Africa</v>
      </c>
    </row>
    <row r="58" spans="2:11" x14ac:dyDescent="0.3">
      <c r="B58" s="9"/>
      <c r="C58" s="186">
        <v>562</v>
      </c>
      <c r="D58" s="191" t="s">
        <v>39</v>
      </c>
      <c r="E58" s="9" t="s">
        <v>238</v>
      </c>
      <c r="F58" s="191" t="s">
        <v>243</v>
      </c>
      <c r="J58" s="179" t="s">
        <v>45</v>
      </c>
      <c r="K58" s="9" t="str">
        <f t="shared" si="0"/>
        <v>Western Africa</v>
      </c>
    </row>
    <row r="59" spans="2:11" x14ac:dyDescent="0.3">
      <c r="B59" s="9"/>
      <c r="C59" s="187">
        <v>566</v>
      </c>
      <c r="D59" s="192" t="s">
        <v>40</v>
      </c>
      <c r="E59" s="9" t="s">
        <v>238</v>
      </c>
      <c r="F59" s="191" t="s">
        <v>243</v>
      </c>
      <c r="J59" s="179" t="s">
        <v>46</v>
      </c>
      <c r="K59" s="9" t="str">
        <f t="shared" si="0"/>
        <v>Oceania</v>
      </c>
    </row>
    <row r="60" spans="2:11" x14ac:dyDescent="0.3">
      <c r="B60" s="9"/>
      <c r="C60" s="186">
        <v>654</v>
      </c>
      <c r="D60" s="191" t="s">
        <v>523</v>
      </c>
      <c r="E60" s="9" t="s">
        <v>238</v>
      </c>
      <c r="F60" s="191" t="s">
        <v>243</v>
      </c>
      <c r="J60" s="179" t="s">
        <v>84</v>
      </c>
      <c r="K60" s="9" t="str">
        <f t="shared" si="0"/>
        <v>Eastern Africa</v>
      </c>
    </row>
    <row r="61" spans="2:11" x14ac:dyDescent="0.3">
      <c r="B61" s="9"/>
      <c r="C61" s="187">
        <v>686</v>
      </c>
      <c r="D61" s="192" t="s">
        <v>44</v>
      </c>
      <c r="E61" s="9" t="s">
        <v>238</v>
      </c>
      <c r="F61" s="191" t="s">
        <v>243</v>
      </c>
      <c r="J61" s="179" t="s">
        <v>53</v>
      </c>
      <c r="K61" s="9" t="str">
        <f t="shared" si="0"/>
        <v>Southern Africa</v>
      </c>
    </row>
    <row r="62" spans="2:11" x14ac:dyDescent="0.3">
      <c r="B62" s="9"/>
      <c r="C62" s="186">
        <v>694</v>
      </c>
      <c r="D62" s="191" t="s">
        <v>45</v>
      </c>
      <c r="E62" s="9" t="s">
        <v>238</v>
      </c>
      <c r="F62" s="191" t="s">
        <v>243</v>
      </c>
      <c r="J62" s="179" t="s">
        <v>85</v>
      </c>
      <c r="K62" s="9" t="str">
        <f t="shared" si="0"/>
        <v>Eastern Africa</v>
      </c>
    </row>
    <row r="63" spans="2:11" x14ac:dyDescent="0.3">
      <c r="B63" s="9"/>
      <c r="C63" s="187">
        <v>768</v>
      </c>
      <c r="D63" s="192" t="s">
        <v>90</v>
      </c>
      <c r="E63" s="9" t="s">
        <v>238</v>
      </c>
      <c r="F63" s="191" t="s">
        <v>243</v>
      </c>
      <c r="J63" s="179" t="s">
        <v>86</v>
      </c>
      <c r="K63" s="9" t="str">
        <f t="shared" si="0"/>
        <v>South Asia</v>
      </c>
    </row>
    <row r="64" spans="2:11" x14ac:dyDescent="0.3">
      <c r="B64" s="194"/>
      <c r="C64" s="187">
        <v>156</v>
      </c>
      <c r="D64" s="192" t="s">
        <v>299</v>
      </c>
      <c r="E64" s="197" t="s">
        <v>245</v>
      </c>
      <c r="F64" s="9" t="s">
        <v>246</v>
      </c>
      <c r="J64" s="179" t="s">
        <v>87</v>
      </c>
      <c r="K64" s="9" t="str">
        <f t="shared" si="0"/>
        <v>Northern Africa</v>
      </c>
    </row>
    <row r="65" spans="2:11" x14ac:dyDescent="0.3">
      <c r="B65" s="194"/>
      <c r="C65" s="186">
        <v>344</v>
      </c>
      <c r="D65" s="191" t="s">
        <v>539</v>
      </c>
      <c r="E65" s="197" t="s">
        <v>245</v>
      </c>
      <c r="F65" s="9" t="s">
        <v>246</v>
      </c>
      <c r="J65" s="179" t="s">
        <v>88</v>
      </c>
      <c r="K65" s="9" t="str">
        <f t="shared" si="0"/>
        <v>Central Asia</v>
      </c>
    </row>
    <row r="66" spans="2:11" x14ac:dyDescent="0.3">
      <c r="B66" s="194"/>
      <c r="C66" s="187">
        <v>446</v>
      </c>
      <c r="D66" s="192" t="s">
        <v>540</v>
      </c>
      <c r="E66" s="197" t="s">
        <v>245</v>
      </c>
      <c r="F66" s="9" t="s">
        <v>246</v>
      </c>
      <c r="J66" s="179" t="s">
        <v>89</v>
      </c>
      <c r="K66" s="9" t="str">
        <f t="shared" si="0"/>
        <v>Southeast Asia</v>
      </c>
    </row>
    <row r="67" spans="2:11" x14ac:dyDescent="0.3">
      <c r="B67" s="194"/>
      <c r="C67" s="186">
        <v>408</v>
      </c>
      <c r="D67" s="191" t="s">
        <v>115</v>
      </c>
      <c r="E67" s="197" t="s">
        <v>245</v>
      </c>
      <c r="F67" s="9" t="s">
        <v>246</v>
      </c>
      <c r="J67" s="179" t="s">
        <v>90</v>
      </c>
      <c r="K67" s="9" t="str">
        <f t="shared" si="0"/>
        <v>Western Africa</v>
      </c>
    </row>
    <row r="68" spans="2:11" x14ac:dyDescent="0.3">
      <c r="B68" s="194"/>
      <c r="C68" s="187">
        <v>392</v>
      </c>
      <c r="D68" s="192" t="s">
        <v>302</v>
      </c>
      <c r="E68" s="197" t="s">
        <v>245</v>
      </c>
      <c r="F68" s="9" t="s">
        <v>246</v>
      </c>
      <c r="J68" s="179" t="s">
        <v>47</v>
      </c>
      <c r="K68" s="9" t="str">
        <f t="shared" si="0"/>
        <v>Eastern Africa</v>
      </c>
    </row>
    <row r="69" spans="2:11" x14ac:dyDescent="0.3">
      <c r="B69" s="194"/>
      <c r="C69" s="186">
        <v>496</v>
      </c>
      <c r="D69" s="191" t="s">
        <v>78</v>
      </c>
      <c r="E69" s="197" t="s">
        <v>245</v>
      </c>
      <c r="F69" s="9" t="s">
        <v>246</v>
      </c>
      <c r="J69" s="179" t="s">
        <v>210</v>
      </c>
      <c r="K69" s="9" t="str">
        <f t="shared" si="0"/>
        <v>Eastern Africa</v>
      </c>
    </row>
    <row r="70" spans="2:11" x14ac:dyDescent="0.3">
      <c r="B70" s="194"/>
      <c r="C70" s="187">
        <v>410</v>
      </c>
      <c r="D70" s="192" t="s">
        <v>303</v>
      </c>
      <c r="E70" s="197" t="s">
        <v>245</v>
      </c>
      <c r="F70" s="9" t="s">
        <v>246</v>
      </c>
      <c r="J70" s="179" t="s">
        <v>91</v>
      </c>
      <c r="K70" s="9" t="str">
        <f t="shared" si="0"/>
        <v>Central Asia</v>
      </c>
    </row>
    <row r="71" spans="2:11" x14ac:dyDescent="0.3">
      <c r="B71" s="194"/>
      <c r="C71" s="187">
        <v>4</v>
      </c>
      <c r="D71" s="192" t="s">
        <v>54</v>
      </c>
      <c r="E71" s="197" t="s">
        <v>245</v>
      </c>
      <c r="F71" s="391" t="s">
        <v>640</v>
      </c>
      <c r="J71" s="179" t="s">
        <v>92</v>
      </c>
      <c r="K71" s="9" t="str">
        <f>VLOOKUP(J71,$D$6:$F$246,3,FALSE)</f>
        <v>Southeast Asia</v>
      </c>
    </row>
    <row r="72" spans="2:11" x14ac:dyDescent="0.3">
      <c r="B72" s="194"/>
      <c r="C72" s="186">
        <v>50</v>
      </c>
      <c r="D72" s="191" t="s">
        <v>30</v>
      </c>
      <c r="E72" s="197" t="s">
        <v>245</v>
      </c>
      <c r="F72" s="391" t="s">
        <v>640</v>
      </c>
      <c r="J72" s="179" t="s">
        <v>93</v>
      </c>
      <c r="K72" s="9" t="str">
        <f>VLOOKUP(J72,$D$6:$F$246,3,FALSE)</f>
        <v>Northern Africa</v>
      </c>
    </row>
    <row r="73" spans="2:11" x14ac:dyDescent="0.3">
      <c r="B73" s="194"/>
      <c r="C73" s="187">
        <v>64</v>
      </c>
      <c r="D73" s="192" t="s">
        <v>56</v>
      </c>
      <c r="E73" s="197" t="s">
        <v>245</v>
      </c>
      <c r="F73" s="391" t="s">
        <v>640</v>
      </c>
      <c r="J73" s="179" t="s">
        <v>94</v>
      </c>
      <c r="K73" s="9" t="str">
        <f>VLOOKUP(J73,$D$6:$F$246,3,FALSE)</f>
        <v>Western Asia</v>
      </c>
    </row>
    <row r="74" spans="2:11" x14ac:dyDescent="0.3">
      <c r="B74" s="194"/>
      <c r="C74" s="186">
        <v>356</v>
      </c>
      <c r="D74" s="191" t="s">
        <v>34</v>
      </c>
      <c r="E74" s="197" t="s">
        <v>245</v>
      </c>
      <c r="F74" s="391" t="s">
        <v>640</v>
      </c>
      <c r="J74" s="179" t="s">
        <v>48</v>
      </c>
      <c r="K74" s="9" t="str">
        <f>VLOOKUP(J74,$D$6:$F$246,3,FALSE)</f>
        <v>Eastern Africa</v>
      </c>
    </row>
    <row r="75" spans="2:11" x14ac:dyDescent="0.3">
      <c r="B75" s="194"/>
      <c r="C75" s="187">
        <v>364</v>
      </c>
      <c r="D75" s="192" t="s">
        <v>721</v>
      </c>
      <c r="E75" s="197" t="s">
        <v>245</v>
      </c>
      <c r="F75" s="391" t="s">
        <v>640</v>
      </c>
      <c r="J75" s="179" t="s">
        <v>49</v>
      </c>
      <c r="K75" s="9" t="str">
        <f>VLOOKUP(J75,$D$6:$F$246,3,FALSE)</f>
        <v>Eastern Africa</v>
      </c>
    </row>
    <row r="76" spans="2:11" x14ac:dyDescent="0.3">
      <c r="B76" s="194"/>
      <c r="C76" s="187">
        <v>398</v>
      </c>
      <c r="D76" s="192" t="s">
        <v>196</v>
      </c>
      <c r="E76" s="197" t="s">
        <v>245</v>
      </c>
      <c r="F76" s="391" t="s">
        <v>305</v>
      </c>
      <c r="J76" s="180" t="s">
        <v>504</v>
      </c>
    </row>
    <row r="77" spans="2:11" x14ac:dyDescent="0.3">
      <c r="B77" s="194"/>
      <c r="C77" s="186">
        <v>417</v>
      </c>
      <c r="D77" s="191" t="s">
        <v>796</v>
      </c>
      <c r="E77" s="197" t="s">
        <v>245</v>
      </c>
      <c r="F77" s="391" t="s">
        <v>305</v>
      </c>
    </row>
    <row r="78" spans="2:11" x14ac:dyDescent="0.3">
      <c r="B78" s="194"/>
      <c r="C78" s="186">
        <v>462</v>
      </c>
      <c r="D78" s="191" t="s">
        <v>198</v>
      </c>
      <c r="E78" s="197" t="s">
        <v>245</v>
      </c>
      <c r="F78" s="391" t="s">
        <v>640</v>
      </c>
    </row>
    <row r="79" spans="2:11" x14ac:dyDescent="0.3">
      <c r="B79" s="194"/>
      <c r="C79" s="187">
        <v>524</v>
      </c>
      <c r="D79" s="192" t="s">
        <v>80</v>
      </c>
      <c r="E79" s="197" t="s">
        <v>245</v>
      </c>
      <c r="F79" s="391" t="s">
        <v>640</v>
      </c>
    </row>
    <row r="80" spans="2:11" x14ac:dyDescent="0.3">
      <c r="B80" s="194"/>
      <c r="C80" s="186">
        <v>586</v>
      </c>
      <c r="D80" s="191" t="s">
        <v>41</v>
      </c>
      <c r="E80" s="197" t="s">
        <v>245</v>
      </c>
      <c r="F80" s="391" t="s">
        <v>640</v>
      </c>
    </row>
    <row r="81" spans="2:6" x14ac:dyDescent="0.3">
      <c r="B81" s="194"/>
      <c r="C81" s="187">
        <v>144</v>
      </c>
      <c r="D81" s="192" t="s">
        <v>86</v>
      </c>
      <c r="E81" s="197" t="s">
        <v>245</v>
      </c>
      <c r="F81" s="391" t="s">
        <v>640</v>
      </c>
    </row>
    <row r="82" spans="2:6" x14ac:dyDescent="0.3">
      <c r="B82" s="194"/>
      <c r="C82" s="187">
        <v>762</v>
      </c>
      <c r="D82" s="192" t="s">
        <v>88</v>
      </c>
      <c r="E82" s="197" t="s">
        <v>245</v>
      </c>
      <c r="F82" s="391" t="s">
        <v>305</v>
      </c>
    </row>
    <row r="83" spans="2:6" x14ac:dyDescent="0.3">
      <c r="B83" s="194"/>
      <c r="C83" s="186">
        <v>795</v>
      </c>
      <c r="D83" s="191" t="s">
        <v>215</v>
      </c>
      <c r="E83" s="197" t="s">
        <v>245</v>
      </c>
      <c r="F83" s="391" t="s">
        <v>305</v>
      </c>
    </row>
    <row r="84" spans="2:6" x14ac:dyDescent="0.3">
      <c r="B84" s="194"/>
      <c r="C84" s="187">
        <v>860</v>
      </c>
      <c r="D84" s="192" t="s">
        <v>91</v>
      </c>
      <c r="E84" s="197" t="s">
        <v>245</v>
      </c>
      <c r="F84" s="391" t="s">
        <v>305</v>
      </c>
    </row>
    <row r="85" spans="2:6" x14ac:dyDescent="0.3">
      <c r="B85" s="194"/>
      <c r="C85" s="187">
        <v>96</v>
      </c>
      <c r="D85" s="192" t="s">
        <v>309</v>
      </c>
      <c r="E85" s="197" t="s">
        <v>245</v>
      </c>
      <c r="F85" s="9" t="s">
        <v>247</v>
      </c>
    </row>
    <row r="86" spans="2:6" x14ac:dyDescent="0.3">
      <c r="B86" s="194"/>
      <c r="C86" s="186">
        <v>116</v>
      </c>
      <c r="D86" s="191" t="s">
        <v>58</v>
      </c>
      <c r="E86" s="197" t="s">
        <v>245</v>
      </c>
      <c r="F86" s="9" t="s">
        <v>247</v>
      </c>
    </row>
    <row r="87" spans="2:6" x14ac:dyDescent="0.3">
      <c r="B87" s="194"/>
      <c r="C87" s="187">
        <v>360</v>
      </c>
      <c r="D87" s="192" t="s">
        <v>35</v>
      </c>
      <c r="E87" s="197" t="s">
        <v>245</v>
      </c>
      <c r="F87" s="9" t="s">
        <v>247</v>
      </c>
    </row>
    <row r="88" spans="2:6" x14ac:dyDescent="0.3">
      <c r="B88" s="194"/>
      <c r="C88" s="186">
        <v>418</v>
      </c>
      <c r="D88" s="191" t="s">
        <v>116</v>
      </c>
      <c r="E88" s="197" t="s">
        <v>245</v>
      </c>
      <c r="F88" s="9" t="s">
        <v>247</v>
      </c>
    </row>
    <row r="89" spans="2:6" x14ac:dyDescent="0.3">
      <c r="B89" s="194"/>
      <c r="C89" s="187">
        <v>458</v>
      </c>
      <c r="D89" s="192" t="s">
        <v>310</v>
      </c>
      <c r="E89" s="197" t="s">
        <v>245</v>
      </c>
      <c r="F89" s="9" t="s">
        <v>247</v>
      </c>
    </row>
    <row r="90" spans="2:6" x14ac:dyDescent="0.3">
      <c r="B90" s="194"/>
      <c r="C90" s="186">
        <v>104</v>
      </c>
      <c r="D90" s="191" t="s">
        <v>79</v>
      </c>
      <c r="E90" s="197" t="s">
        <v>245</v>
      </c>
      <c r="F90" s="9" t="s">
        <v>247</v>
      </c>
    </row>
    <row r="91" spans="2:6" x14ac:dyDescent="0.3">
      <c r="B91" s="194"/>
      <c r="C91" s="187">
        <v>608</v>
      </c>
      <c r="D91" s="192" t="s">
        <v>42</v>
      </c>
      <c r="E91" s="197" t="s">
        <v>245</v>
      </c>
      <c r="F91" s="9" t="s">
        <v>247</v>
      </c>
    </row>
    <row r="92" spans="2:6" x14ac:dyDescent="0.3">
      <c r="B92" s="194"/>
      <c r="C92" s="186">
        <v>702</v>
      </c>
      <c r="D92" s="191" t="s">
        <v>311</v>
      </c>
      <c r="E92" s="197" t="s">
        <v>245</v>
      </c>
      <c r="F92" s="9" t="s">
        <v>247</v>
      </c>
    </row>
    <row r="93" spans="2:6" x14ac:dyDescent="0.3">
      <c r="B93" s="194"/>
      <c r="C93" s="187">
        <v>764</v>
      </c>
      <c r="D93" s="192" t="s">
        <v>312</v>
      </c>
      <c r="E93" s="197" t="s">
        <v>245</v>
      </c>
      <c r="F93" s="9" t="s">
        <v>247</v>
      </c>
    </row>
    <row r="94" spans="2:6" x14ac:dyDescent="0.3">
      <c r="B94" s="194"/>
      <c r="C94" s="186">
        <v>626</v>
      </c>
      <c r="D94" s="191" t="s">
        <v>89</v>
      </c>
      <c r="E94" s="197" t="s">
        <v>245</v>
      </c>
      <c r="F94" s="9" t="s">
        <v>247</v>
      </c>
    </row>
    <row r="95" spans="2:6" x14ac:dyDescent="0.3">
      <c r="B95" s="194"/>
      <c r="C95" s="187">
        <v>704</v>
      </c>
      <c r="D95" s="192" t="s">
        <v>92</v>
      </c>
      <c r="E95" s="197" t="s">
        <v>245</v>
      </c>
      <c r="F95" s="9" t="s">
        <v>247</v>
      </c>
    </row>
    <row r="96" spans="2:6" x14ac:dyDescent="0.3">
      <c r="B96" s="194"/>
      <c r="C96" s="187">
        <v>51</v>
      </c>
      <c r="D96" s="192" t="s">
        <v>161</v>
      </c>
      <c r="E96" s="197" t="s">
        <v>245</v>
      </c>
      <c r="F96" s="190" t="s">
        <v>249</v>
      </c>
    </row>
    <row r="97" spans="2:6" x14ac:dyDescent="0.3">
      <c r="B97" s="194"/>
      <c r="C97" s="186">
        <v>31</v>
      </c>
      <c r="D97" s="191" t="s">
        <v>162</v>
      </c>
      <c r="E97" s="197" t="s">
        <v>245</v>
      </c>
      <c r="F97" s="190" t="s">
        <v>249</v>
      </c>
    </row>
    <row r="98" spans="2:6" x14ac:dyDescent="0.3">
      <c r="B98" s="194"/>
      <c r="C98" s="187">
        <v>48</v>
      </c>
      <c r="D98" s="192" t="s">
        <v>313</v>
      </c>
      <c r="E98" s="197" t="s">
        <v>245</v>
      </c>
      <c r="F98" s="190" t="s">
        <v>249</v>
      </c>
    </row>
    <row r="99" spans="2:6" x14ac:dyDescent="0.3">
      <c r="B99" s="194"/>
      <c r="C99" s="186">
        <v>196</v>
      </c>
      <c r="D99" s="191" t="s">
        <v>314</v>
      </c>
      <c r="E99" s="197" t="s">
        <v>245</v>
      </c>
      <c r="F99" s="190" t="s">
        <v>249</v>
      </c>
    </row>
    <row r="100" spans="2:6" x14ac:dyDescent="0.3">
      <c r="B100" s="194"/>
      <c r="C100" s="187">
        <v>268</v>
      </c>
      <c r="D100" s="192" t="s">
        <v>188</v>
      </c>
      <c r="E100" s="197" t="s">
        <v>245</v>
      </c>
      <c r="F100" s="190" t="s">
        <v>249</v>
      </c>
    </row>
    <row r="101" spans="2:6" x14ac:dyDescent="0.3">
      <c r="B101" s="194"/>
      <c r="C101" s="186">
        <v>368</v>
      </c>
      <c r="D101" s="191" t="s">
        <v>72</v>
      </c>
      <c r="E101" s="197" t="s">
        <v>245</v>
      </c>
      <c r="F101" s="190" t="s">
        <v>249</v>
      </c>
    </row>
    <row r="102" spans="2:6" x14ac:dyDescent="0.3">
      <c r="B102" s="194"/>
      <c r="C102" s="187">
        <v>376</v>
      </c>
      <c r="D102" s="192" t="s">
        <v>315</v>
      </c>
      <c r="E102" s="197" t="s">
        <v>245</v>
      </c>
      <c r="F102" s="190" t="s">
        <v>249</v>
      </c>
    </row>
    <row r="103" spans="2:6" x14ac:dyDescent="0.3">
      <c r="B103" s="194"/>
      <c r="C103" s="186">
        <v>400</v>
      </c>
      <c r="D103" s="191" t="s">
        <v>195</v>
      </c>
      <c r="E103" s="197" t="s">
        <v>245</v>
      </c>
      <c r="F103" s="190" t="s">
        <v>249</v>
      </c>
    </row>
    <row r="104" spans="2:6" x14ac:dyDescent="0.3">
      <c r="B104" s="194"/>
      <c r="C104" s="187">
        <v>414</v>
      </c>
      <c r="D104" s="192" t="s">
        <v>316</v>
      </c>
      <c r="E104" s="197" t="s">
        <v>245</v>
      </c>
      <c r="F104" s="190" t="s">
        <v>249</v>
      </c>
    </row>
    <row r="105" spans="2:6" x14ac:dyDescent="0.3">
      <c r="B105" s="194"/>
      <c r="C105" s="186">
        <v>422</v>
      </c>
      <c r="D105" s="191" t="s">
        <v>317</v>
      </c>
      <c r="E105" s="197" t="s">
        <v>245</v>
      </c>
      <c r="F105" s="190" t="s">
        <v>249</v>
      </c>
    </row>
    <row r="106" spans="2:6" x14ac:dyDescent="0.3">
      <c r="B106" s="194"/>
      <c r="C106" s="187">
        <v>512</v>
      </c>
      <c r="D106" s="192" t="s">
        <v>318</v>
      </c>
      <c r="E106" s="197" t="s">
        <v>245</v>
      </c>
      <c r="F106" s="190" t="s">
        <v>249</v>
      </c>
    </row>
    <row r="107" spans="2:6" x14ac:dyDescent="0.3">
      <c r="B107" s="194"/>
      <c r="C107" s="186">
        <v>634</v>
      </c>
      <c r="D107" s="191" t="s">
        <v>319</v>
      </c>
      <c r="E107" s="197" t="s">
        <v>245</v>
      </c>
      <c r="F107" s="190" t="s">
        <v>249</v>
      </c>
    </row>
    <row r="108" spans="2:6" x14ac:dyDescent="0.3">
      <c r="B108" s="194"/>
      <c r="C108" s="187">
        <v>682</v>
      </c>
      <c r="D108" s="192" t="s">
        <v>320</v>
      </c>
      <c r="E108" s="197" t="s">
        <v>245</v>
      </c>
      <c r="F108" s="190" t="s">
        <v>249</v>
      </c>
    </row>
    <row r="109" spans="2:6" x14ac:dyDescent="0.3">
      <c r="B109" s="194"/>
      <c r="C109" s="186">
        <v>275</v>
      </c>
      <c r="D109" s="191" t="s">
        <v>117</v>
      </c>
      <c r="E109" s="197" t="s">
        <v>245</v>
      </c>
      <c r="F109" s="190" t="s">
        <v>249</v>
      </c>
    </row>
    <row r="110" spans="2:6" x14ac:dyDescent="0.3">
      <c r="B110" s="194"/>
      <c r="C110" s="187">
        <v>760</v>
      </c>
      <c r="D110" s="192" t="s">
        <v>321</v>
      </c>
      <c r="E110" s="197" t="s">
        <v>245</v>
      </c>
      <c r="F110" s="190" t="s">
        <v>249</v>
      </c>
    </row>
    <row r="111" spans="2:6" x14ac:dyDescent="0.3">
      <c r="B111" s="194"/>
      <c r="C111" s="186">
        <v>792</v>
      </c>
      <c r="D111" s="191" t="s">
        <v>213</v>
      </c>
      <c r="E111" s="197" t="s">
        <v>245</v>
      </c>
      <c r="F111" s="190" t="s">
        <v>249</v>
      </c>
    </row>
    <row r="112" spans="2:6" x14ac:dyDescent="0.3">
      <c r="B112" s="194"/>
      <c r="C112" s="187">
        <v>784</v>
      </c>
      <c r="D112" s="192" t="s">
        <v>322</v>
      </c>
      <c r="E112" s="197" t="s">
        <v>245</v>
      </c>
      <c r="F112" s="190" t="s">
        <v>249</v>
      </c>
    </row>
    <row r="113" spans="2:6" x14ac:dyDescent="0.3">
      <c r="B113" s="194"/>
      <c r="C113" s="186">
        <v>887</v>
      </c>
      <c r="D113" s="191" t="s">
        <v>94</v>
      </c>
      <c r="E113" s="197" t="s">
        <v>245</v>
      </c>
      <c r="F113" s="190" t="s">
        <v>249</v>
      </c>
    </row>
    <row r="114" spans="2:6" x14ac:dyDescent="0.3">
      <c r="B114" s="9"/>
      <c r="C114" s="187">
        <v>112</v>
      </c>
      <c r="D114" s="192" t="s">
        <v>325</v>
      </c>
      <c r="E114" s="197" t="s">
        <v>541</v>
      </c>
      <c r="F114" s="190" t="s">
        <v>324</v>
      </c>
    </row>
    <row r="115" spans="2:6" x14ac:dyDescent="0.3">
      <c r="B115" s="9"/>
      <c r="C115" s="186">
        <v>100</v>
      </c>
      <c r="D115" s="191" t="s">
        <v>326</v>
      </c>
      <c r="E115" s="197" t="s">
        <v>541</v>
      </c>
      <c r="F115" s="190" t="s">
        <v>324</v>
      </c>
    </row>
    <row r="116" spans="2:6" x14ac:dyDescent="0.3">
      <c r="B116" s="9"/>
      <c r="C116" s="187">
        <v>203</v>
      </c>
      <c r="D116" s="192" t="s">
        <v>327</v>
      </c>
      <c r="E116" s="197" t="s">
        <v>541</v>
      </c>
      <c r="F116" s="190" t="s">
        <v>324</v>
      </c>
    </row>
    <row r="117" spans="2:6" x14ac:dyDescent="0.3">
      <c r="B117" s="9"/>
      <c r="C117" s="186">
        <v>348</v>
      </c>
      <c r="D117" s="191" t="s">
        <v>328</v>
      </c>
      <c r="E117" s="197" t="s">
        <v>541</v>
      </c>
      <c r="F117" s="190" t="s">
        <v>324</v>
      </c>
    </row>
    <row r="118" spans="2:6" x14ac:dyDescent="0.3">
      <c r="B118" s="9"/>
      <c r="C118" s="187">
        <v>616</v>
      </c>
      <c r="D118" s="192" t="s">
        <v>329</v>
      </c>
      <c r="E118" s="197" t="s">
        <v>541</v>
      </c>
      <c r="F118" s="190" t="s">
        <v>324</v>
      </c>
    </row>
    <row r="119" spans="2:6" x14ac:dyDescent="0.3">
      <c r="B119" s="197"/>
      <c r="C119" s="189">
        <v>498</v>
      </c>
      <c r="D119" s="195" t="s">
        <v>330</v>
      </c>
      <c r="E119" s="197" t="s">
        <v>541</v>
      </c>
      <c r="F119" s="190" t="s">
        <v>324</v>
      </c>
    </row>
    <row r="120" spans="2:6" x14ac:dyDescent="0.3">
      <c r="C120" s="187">
        <v>642</v>
      </c>
      <c r="D120" s="192" t="s">
        <v>208</v>
      </c>
      <c r="E120" s="197" t="s">
        <v>541</v>
      </c>
      <c r="F120" s="190" t="s">
        <v>324</v>
      </c>
    </row>
    <row r="121" spans="2:6" x14ac:dyDescent="0.3">
      <c r="C121" s="186">
        <v>643</v>
      </c>
      <c r="D121" s="191" t="s">
        <v>331</v>
      </c>
      <c r="E121" s="197" t="s">
        <v>541</v>
      </c>
      <c r="F121" s="190" t="s">
        <v>324</v>
      </c>
    </row>
    <row r="122" spans="2:6" x14ac:dyDescent="0.3">
      <c r="C122" s="187">
        <v>703</v>
      </c>
      <c r="D122" s="192" t="s">
        <v>332</v>
      </c>
      <c r="E122" s="197" t="s">
        <v>541</v>
      </c>
      <c r="F122" s="190" t="s">
        <v>324</v>
      </c>
    </row>
    <row r="123" spans="2:6" x14ac:dyDescent="0.3">
      <c r="C123" s="186">
        <v>804</v>
      </c>
      <c r="D123" s="191" t="s">
        <v>217</v>
      </c>
      <c r="E123" s="197" t="s">
        <v>541</v>
      </c>
      <c r="F123" s="190" t="s">
        <v>324</v>
      </c>
    </row>
    <row r="124" spans="2:6" x14ac:dyDescent="0.3">
      <c r="C124" s="187">
        <v>248</v>
      </c>
      <c r="D124" s="192" t="s">
        <v>542</v>
      </c>
      <c r="E124" s="197" t="s">
        <v>541</v>
      </c>
      <c r="F124" s="190" t="s">
        <v>333</v>
      </c>
    </row>
    <row r="125" spans="2:6" x14ac:dyDescent="0.3">
      <c r="C125" s="189">
        <v>830</v>
      </c>
      <c r="D125" s="195" t="s">
        <v>334</v>
      </c>
      <c r="E125" s="197" t="s">
        <v>541</v>
      </c>
      <c r="F125" s="190" t="s">
        <v>333</v>
      </c>
    </row>
    <row r="126" spans="2:6" x14ac:dyDescent="0.3">
      <c r="C126" s="187">
        <v>208</v>
      </c>
      <c r="D126" s="192" t="s">
        <v>335</v>
      </c>
      <c r="E126" s="197" t="s">
        <v>541</v>
      </c>
      <c r="F126" s="190" t="s">
        <v>333</v>
      </c>
    </row>
    <row r="127" spans="2:6" x14ac:dyDescent="0.3">
      <c r="C127" s="186">
        <v>233</v>
      </c>
      <c r="D127" s="191" t="s">
        <v>336</v>
      </c>
      <c r="E127" s="197" t="s">
        <v>541</v>
      </c>
      <c r="F127" s="190" t="s">
        <v>333</v>
      </c>
    </row>
    <row r="128" spans="2:6" x14ac:dyDescent="0.3">
      <c r="C128" s="187">
        <v>234</v>
      </c>
      <c r="D128" s="192" t="s">
        <v>543</v>
      </c>
      <c r="E128" s="197" t="s">
        <v>541</v>
      </c>
      <c r="F128" s="190" t="s">
        <v>333</v>
      </c>
    </row>
    <row r="129" spans="3:6" x14ac:dyDescent="0.3">
      <c r="C129" s="186">
        <v>246</v>
      </c>
      <c r="D129" s="191" t="s">
        <v>337</v>
      </c>
      <c r="E129" s="197" t="s">
        <v>541</v>
      </c>
      <c r="F129" s="190" t="s">
        <v>333</v>
      </c>
    </row>
    <row r="130" spans="3:6" x14ac:dyDescent="0.3">
      <c r="C130" s="188">
        <v>831</v>
      </c>
      <c r="D130" s="193" t="s">
        <v>544</v>
      </c>
      <c r="E130" s="197" t="s">
        <v>541</v>
      </c>
      <c r="F130" s="190" t="s">
        <v>333</v>
      </c>
    </row>
    <row r="131" spans="3:6" x14ac:dyDescent="0.3">
      <c r="C131" s="186">
        <v>352</v>
      </c>
      <c r="D131" s="191" t="s">
        <v>338</v>
      </c>
      <c r="E131" s="197" t="s">
        <v>541</v>
      </c>
      <c r="F131" s="190" t="s">
        <v>333</v>
      </c>
    </row>
    <row r="132" spans="3:6" x14ac:dyDescent="0.3">
      <c r="C132" s="187">
        <v>372</v>
      </c>
      <c r="D132" s="192" t="s">
        <v>339</v>
      </c>
      <c r="E132" s="197" t="s">
        <v>541</v>
      </c>
      <c r="F132" s="190" t="s">
        <v>333</v>
      </c>
    </row>
    <row r="133" spans="3:6" x14ac:dyDescent="0.3">
      <c r="C133" s="186">
        <v>833</v>
      </c>
      <c r="D133" s="191" t="s">
        <v>545</v>
      </c>
      <c r="E133" s="197" t="s">
        <v>541</v>
      </c>
      <c r="F133" s="190" t="s">
        <v>333</v>
      </c>
    </row>
    <row r="134" spans="3:6" x14ac:dyDescent="0.3">
      <c r="C134" s="188">
        <v>832</v>
      </c>
      <c r="D134" s="193" t="s">
        <v>546</v>
      </c>
      <c r="E134" s="197" t="s">
        <v>541</v>
      </c>
      <c r="F134" s="190" t="s">
        <v>333</v>
      </c>
    </row>
    <row r="135" spans="3:6" x14ac:dyDescent="0.3">
      <c r="C135" s="186">
        <v>428</v>
      </c>
      <c r="D135" s="191" t="s">
        <v>340</v>
      </c>
      <c r="E135" s="197" t="s">
        <v>541</v>
      </c>
      <c r="F135" s="190" t="s">
        <v>333</v>
      </c>
    </row>
    <row r="136" spans="3:6" x14ac:dyDescent="0.3">
      <c r="C136" s="187">
        <v>440</v>
      </c>
      <c r="D136" s="192" t="s">
        <v>341</v>
      </c>
      <c r="E136" s="197" t="s">
        <v>541</v>
      </c>
      <c r="F136" s="190" t="s">
        <v>333</v>
      </c>
    </row>
    <row r="137" spans="3:6" x14ac:dyDescent="0.3">
      <c r="C137" s="186">
        <v>578</v>
      </c>
      <c r="D137" s="191" t="s">
        <v>342</v>
      </c>
      <c r="E137" s="197" t="s">
        <v>541</v>
      </c>
      <c r="F137" s="190" t="s">
        <v>333</v>
      </c>
    </row>
    <row r="138" spans="3:6" x14ac:dyDescent="0.3">
      <c r="C138" s="187">
        <v>680</v>
      </c>
      <c r="D138" s="192" t="s">
        <v>547</v>
      </c>
      <c r="E138" s="197" t="s">
        <v>541</v>
      </c>
      <c r="F138" s="190" t="s">
        <v>333</v>
      </c>
    </row>
    <row r="139" spans="3:6" x14ac:dyDescent="0.3">
      <c r="C139" s="186">
        <v>744</v>
      </c>
      <c r="D139" s="191" t="s">
        <v>548</v>
      </c>
      <c r="E139" s="197" t="s">
        <v>541</v>
      </c>
      <c r="F139" s="190" t="s">
        <v>333</v>
      </c>
    </row>
    <row r="140" spans="3:6" x14ac:dyDescent="0.3">
      <c r="C140" s="187">
        <v>752</v>
      </c>
      <c r="D140" s="192" t="s">
        <v>343</v>
      </c>
      <c r="E140" s="197" t="s">
        <v>541</v>
      </c>
      <c r="F140" s="190" t="s">
        <v>333</v>
      </c>
    </row>
    <row r="141" spans="3:6" x14ac:dyDescent="0.3">
      <c r="C141" s="186">
        <v>826</v>
      </c>
      <c r="D141" s="191" t="s">
        <v>549</v>
      </c>
      <c r="E141" s="197" t="s">
        <v>541</v>
      </c>
      <c r="F141" s="190" t="s">
        <v>333</v>
      </c>
    </row>
    <row r="142" spans="3:6" x14ac:dyDescent="0.3">
      <c r="C142" s="187">
        <v>8</v>
      </c>
      <c r="D142" s="192" t="s">
        <v>160</v>
      </c>
      <c r="E142" s="197" t="s">
        <v>541</v>
      </c>
      <c r="F142" s="190" t="s">
        <v>345</v>
      </c>
    </row>
    <row r="143" spans="3:6" x14ac:dyDescent="0.3">
      <c r="C143" s="186">
        <v>20</v>
      </c>
      <c r="D143" s="191" t="s">
        <v>550</v>
      </c>
      <c r="E143" s="197" t="s">
        <v>541</v>
      </c>
      <c r="F143" s="190" t="s">
        <v>345</v>
      </c>
    </row>
    <row r="144" spans="3:6" x14ac:dyDescent="0.3">
      <c r="C144" s="187">
        <v>70</v>
      </c>
      <c r="D144" s="192" t="s">
        <v>346</v>
      </c>
      <c r="E144" s="197" t="s">
        <v>541</v>
      </c>
      <c r="F144" s="190" t="s">
        <v>345</v>
      </c>
    </row>
    <row r="145" spans="3:6" x14ac:dyDescent="0.3">
      <c r="C145" s="186">
        <v>191</v>
      </c>
      <c r="D145" s="191" t="s">
        <v>347</v>
      </c>
      <c r="E145" s="197" t="s">
        <v>541</v>
      </c>
      <c r="F145" s="190" t="s">
        <v>345</v>
      </c>
    </row>
    <row r="146" spans="3:6" x14ac:dyDescent="0.3">
      <c r="C146" s="187">
        <v>292</v>
      </c>
      <c r="D146" s="192" t="s">
        <v>551</v>
      </c>
      <c r="E146" s="197" t="s">
        <v>541</v>
      </c>
      <c r="F146" s="190" t="s">
        <v>345</v>
      </c>
    </row>
    <row r="147" spans="3:6" x14ac:dyDescent="0.3">
      <c r="C147" s="186">
        <v>300</v>
      </c>
      <c r="D147" s="191" t="s">
        <v>348</v>
      </c>
      <c r="E147" s="197" t="s">
        <v>541</v>
      </c>
      <c r="F147" s="190" t="s">
        <v>345</v>
      </c>
    </row>
    <row r="148" spans="3:6" x14ac:dyDescent="0.3">
      <c r="C148" s="187">
        <v>336</v>
      </c>
      <c r="D148" s="192" t="s">
        <v>552</v>
      </c>
      <c r="E148" s="197" t="s">
        <v>541</v>
      </c>
      <c r="F148" s="190" t="s">
        <v>345</v>
      </c>
    </row>
    <row r="149" spans="3:6" x14ac:dyDescent="0.3">
      <c r="C149" s="186">
        <v>380</v>
      </c>
      <c r="D149" s="191" t="s">
        <v>349</v>
      </c>
      <c r="E149" s="197" t="s">
        <v>541</v>
      </c>
      <c r="F149" s="190" t="s">
        <v>345</v>
      </c>
    </row>
    <row r="150" spans="3:6" x14ac:dyDescent="0.3">
      <c r="C150" s="187">
        <v>470</v>
      </c>
      <c r="D150" s="192" t="s">
        <v>350</v>
      </c>
      <c r="E150" s="197" t="s">
        <v>541</v>
      </c>
      <c r="F150" s="190" t="s">
        <v>345</v>
      </c>
    </row>
    <row r="151" spans="3:6" x14ac:dyDescent="0.3">
      <c r="C151" s="186">
        <v>499</v>
      </c>
      <c r="D151" s="191" t="s">
        <v>351</v>
      </c>
      <c r="E151" s="197" t="s">
        <v>541</v>
      </c>
      <c r="F151" s="190" t="s">
        <v>345</v>
      </c>
    </row>
    <row r="152" spans="3:6" x14ac:dyDescent="0.3">
      <c r="C152" s="187">
        <v>620</v>
      </c>
      <c r="D152" s="192" t="s">
        <v>352</v>
      </c>
      <c r="E152" s="197" t="s">
        <v>541</v>
      </c>
      <c r="F152" s="190" t="s">
        <v>345</v>
      </c>
    </row>
    <row r="153" spans="3:6" x14ac:dyDescent="0.3">
      <c r="C153" s="186">
        <v>674</v>
      </c>
      <c r="D153" s="191" t="s">
        <v>553</v>
      </c>
      <c r="E153" s="197" t="s">
        <v>541</v>
      </c>
      <c r="F153" s="190" t="s">
        <v>345</v>
      </c>
    </row>
    <row r="154" spans="3:6" x14ac:dyDescent="0.3">
      <c r="C154" s="187">
        <v>688</v>
      </c>
      <c r="D154" s="192" t="s">
        <v>353</v>
      </c>
      <c r="E154" s="197" t="s">
        <v>541</v>
      </c>
      <c r="F154" s="190" t="s">
        <v>345</v>
      </c>
    </row>
    <row r="155" spans="3:6" x14ac:dyDescent="0.3">
      <c r="C155" s="186">
        <v>705</v>
      </c>
      <c r="D155" s="191" t="s">
        <v>354</v>
      </c>
      <c r="E155" s="197" t="s">
        <v>541</v>
      </c>
      <c r="F155" s="190" t="s">
        <v>345</v>
      </c>
    </row>
    <row r="156" spans="3:6" x14ac:dyDescent="0.3">
      <c r="C156" s="187">
        <v>724</v>
      </c>
      <c r="D156" s="192" t="s">
        <v>355</v>
      </c>
      <c r="E156" s="197" t="s">
        <v>541</v>
      </c>
      <c r="F156" s="190" t="s">
        <v>345</v>
      </c>
    </row>
    <row r="157" spans="3:6" x14ac:dyDescent="0.3">
      <c r="C157" s="186">
        <v>807</v>
      </c>
      <c r="D157" s="191" t="s">
        <v>497</v>
      </c>
      <c r="E157" s="197" t="s">
        <v>541</v>
      </c>
      <c r="F157" s="190" t="s">
        <v>345</v>
      </c>
    </row>
    <row r="158" spans="3:6" x14ac:dyDescent="0.3">
      <c r="C158" s="187">
        <v>40</v>
      </c>
      <c r="D158" s="192" t="s">
        <v>357</v>
      </c>
      <c r="E158" s="197" t="s">
        <v>541</v>
      </c>
      <c r="F158" s="190" t="s">
        <v>356</v>
      </c>
    </row>
    <row r="159" spans="3:6" x14ac:dyDescent="0.3">
      <c r="C159" s="186">
        <v>56</v>
      </c>
      <c r="D159" s="191" t="s">
        <v>358</v>
      </c>
      <c r="E159" s="197" t="s">
        <v>541</v>
      </c>
      <c r="F159" s="190" t="s">
        <v>356</v>
      </c>
    </row>
    <row r="160" spans="3:6" x14ac:dyDescent="0.3">
      <c r="C160" s="187">
        <v>250</v>
      </c>
      <c r="D160" s="192" t="s">
        <v>359</v>
      </c>
      <c r="E160" s="197" t="s">
        <v>541</v>
      </c>
      <c r="F160" s="190" t="s">
        <v>356</v>
      </c>
    </row>
    <row r="161" spans="3:6" x14ac:dyDescent="0.3">
      <c r="C161" s="186">
        <v>276</v>
      </c>
      <c r="D161" s="191" t="s">
        <v>360</v>
      </c>
      <c r="E161" s="197" t="s">
        <v>541</v>
      </c>
      <c r="F161" s="190" t="s">
        <v>356</v>
      </c>
    </row>
    <row r="162" spans="3:6" x14ac:dyDescent="0.3">
      <c r="C162" s="187">
        <v>438</v>
      </c>
      <c r="D162" s="192" t="s">
        <v>554</v>
      </c>
      <c r="E162" s="197" t="s">
        <v>541</v>
      </c>
      <c r="F162" s="190" t="s">
        <v>356</v>
      </c>
    </row>
    <row r="163" spans="3:6" x14ac:dyDescent="0.3">
      <c r="C163" s="186">
        <v>442</v>
      </c>
      <c r="D163" s="191" t="s">
        <v>361</v>
      </c>
      <c r="E163" s="197" t="s">
        <v>541</v>
      </c>
      <c r="F163" s="190" t="s">
        <v>356</v>
      </c>
    </row>
    <row r="164" spans="3:6" x14ac:dyDescent="0.3">
      <c r="C164" s="187">
        <v>492</v>
      </c>
      <c r="D164" s="192" t="s">
        <v>555</v>
      </c>
      <c r="E164" s="197" t="s">
        <v>541</v>
      </c>
      <c r="F164" s="190" t="s">
        <v>356</v>
      </c>
    </row>
    <row r="165" spans="3:6" x14ac:dyDescent="0.3">
      <c r="C165" s="186">
        <v>528</v>
      </c>
      <c r="D165" s="191" t="s">
        <v>362</v>
      </c>
      <c r="E165" s="197" t="s">
        <v>541</v>
      </c>
      <c r="F165" s="190" t="s">
        <v>356</v>
      </c>
    </row>
    <row r="166" spans="3:6" x14ac:dyDescent="0.3">
      <c r="C166" s="187">
        <v>756</v>
      </c>
      <c r="D166" s="192" t="s">
        <v>363</v>
      </c>
      <c r="E166" s="197" t="s">
        <v>541</v>
      </c>
      <c r="F166" s="190" t="s">
        <v>356</v>
      </c>
    </row>
    <row r="167" spans="3:6" x14ac:dyDescent="0.3">
      <c r="C167" s="187">
        <v>660</v>
      </c>
      <c r="D167" s="192" t="s">
        <v>524</v>
      </c>
      <c r="E167" s="194" t="s">
        <v>250</v>
      </c>
      <c r="F167" s="190" t="s">
        <v>251</v>
      </c>
    </row>
    <row r="168" spans="3:6" x14ac:dyDescent="0.3">
      <c r="C168" s="186">
        <v>28</v>
      </c>
      <c r="D168" s="191" t="s">
        <v>365</v>
      </c>
      <c r="E168" s="194" t="s">
        <v>250</v>
      </c>
      <c r="F168" s="190" t="s">
        <v>251</v>
      </c>
    </row>
    <row r="169" spans="3:6" x14ac:dyDescent="0.3">
      <c r="C169" s="187">
        <v>533</v>
      </c>
      <c r="D169" s="192" t="s">
        <v>366</v>
      </c>
      <c r="E169" s="194" t="s">
        <v>250</v>
      </c>
      <c r="F169" s="190" t="s">
        <v>251</v>
      </c>
    </row>
    <row r="170" spans="3:6" x14ac:dyDescent="0.3">
      <c r="C170" s="186">
        <v>44</v>
      </c>
      <c r="D170" s="191" t="s">
        <v>367</v>
      </c>
      <c r="E170" s="194" t="s">
        <v>250</v>
      </c>
      <c r="F170" s="190" t="s">
        <v>251</v>
      </c>
    </row>
    <row r="171" spans="3:6" x14ac:dyDescent="0.3">
      <c r="C171" s="187">
        <v>52</v>
      </c>
      <c r="D171" s="192" t="s">
        <v>368</v>
      </c>
      <c r="E171" s="194" t="s">
        <v>250</v>
      </c>
      <c r="F171" s="190" t="s">
        <v>251</v>
      </c>
    </row>
    <row r="172" spans="3:6" x14ac:dyDescent="0.3">
      <c r="C172" s="189">
        <v>535</v>
      </c>
      <c r="D172" s="195" t="s">
        <v>525</v>
      </c>
      <c r="E172" s="194" t="s">
        <v>250</v>
      </c>
      <c r="F172" s="190" t="s">
        <v>251</v>
      </c>
    </row>
    <row r="173" spans="3:6" x14ac:dyDescent="0.3">
      <c r="C173" s="187">
        <v>92</v>
      </c>
      <c r="D173" s="192" t="s">
        <v>526</v>
      </c>
      <c r="E173" s="194" t="s">
        <v>250</v>
      </c>
      <c r="F173" s="190" t="s">
        <v>251</v>
      </c>
    </row>
    <row r="174" spans="3:6" x14ac:dyDescent="0.3">
      <c r="C174" s="186">
        <v>136</v>
      </c>
      <c r="D174" s="191" t="s">
        <v>527</v>
      </c>
      <c r="E174" s="194" t="s">
        <v>250</v>
      </c>
      <c r="F174" s="190" t="s">
        <v>251</v>
      </c>
    </row>
    <row r="175" spans="3:6" x14ac:dyDescent="0.3">
      <c r="C175" s="187">
        <v>192</v>
      </c>
      <c r="D175" s="192" t="s">
        <v>369</v>
      </c>
      <c r="E175" s="194" t="s">
        <v>250</v>
      </c>
      <c r="F175" s="190" t="s">
        <v>251</v>
      </c>
    </row>
    <row r="176" spans="3:6" x14ac:dyDescent="0.3">
      <c r="C176" s="186">
        <v>531</v>
      </c>
      <c r="D176" s="191" t="s">
        <v>370</v>
      </c>
      <c r="E176" s="194" t="s">
        <v>250</v>
      </c>
      <c r="F176" s="190" t="s">
        <v>251</v>
      </c>
    </row>
    <row r="177" spans="3:6" x14ac:dyDescent="0.3">
      <c r="C177" s="187">
        <v>212</v>
      </c>
      <c r="D177" s="192" t="s">
        <v>528</v>
      </c>
      <c r="E177" s="194" t="s">
        <v>250</v>
      </c>
      <c r="F177" s="190" t="s">
        <v>251</v>
      </c>
    </row>
    <row r="178" spans="3:6" x14ac:dyDescent="0.3">
      <c r="C178" s="186">
        <v>214</v>
      </c>
      <c r="D178" s="191" t="s">
        <v>179</v>
      </c>
      <c r="E178" s="194" t="s">
        <v>250</v>
      </c>
      <c r="F178" s="190" t="s">
        <v>251</v>
      </c>
    </row>
    <row r="179" spans="3:6" x14ac:dyDescent="0.3">
      <c r="C179" s="187">
        <v>308</v>
      </c>
      <c r="D179" s="192" t="s">
        <v>371</v>
      </c>
      <c r="E179" s="194" t="s">
        <v>250</v>
      </c>
      <c r="F179" s="190" t="s">
        <v>251</v>
      </c>
    </row>
    <row r="180" spans="3:6" x14ac:dyDescent="0.3">
      <c r="C180" s="186">
        <v>312</v>
      </c>
      <c r="D180" s="191" t="s">
        <v>372</v>
      </c>
      <c r="E180" s="194" t="s">
        <v>250</v>
      </c>
      <c r="F180" s="190" t="s">
        <v>251</v>
      </c>
    </row>
    <row r="181" spans="3:6" x14ac:dyDescent="0.3">
      <c r="C181" s="187">
        <v>332</v>
      </c>
      <c r="D181" s="192" t="s">
        <v>70</v>
      </c>
      <c r="E181" s="194" t="s">
        <v>250</v>
      </c>
      <c r="F181" s="190" t="s">
        <v>251</v>
      </c>
    </row>
    <row r="182" spans="3:6" x14ac:dyDescent="0.3">
      <c r="C182" s="186">
        <v>388</v>
      </c>
      <c r="D182" s="191" t="s">
        <v>194</v>
      </c>
      <c r="E182" s="194" t="s">
        <v>250</v>
      </c>
      <c r="F182" s="190" t="s">
        <v>251</v>
      </c>
    </row>
    <row r="183" spans="3:6" x14ac:dyDescent="0.3">
      <c r="C183" s="187">
        <v>474</v>
      </c>
      <c r="D183" s="192" t="s">
        <v>373</v>
      </c>
      <c r="E183" s="194" t="s">
        <v>250</v>
      </c>
      <c r="F183" s="190" t="s">
        <v>251</v>
      </c>
    </row>
    <row r="184" spans="3:6" x14ac:dyDescent="0.3">
      <c r="C184" s="186">
        <v>500</v>
      </c>
      <c r="D184" s="191" t="s">
        <v>529</v>
      </c>
      <c r="E184" s="194" t="s">
        <v>250</v>
      </c>
      <c r="F184" s="190" t="s">
        <v>251</v>
      </c>
    </row>
    <row r="185" spans="3:6" x14ac:dyDescent="0.3">
      <c r="C185" s="187">
        <v>630</v>
      </c>
      <c r="D185" s="192" t="s">
        <v>374</v>
      </c>
      <c r="E185" s="194" t="s">
        <v>250</v>
      </c>
      <c r="F185" s="190" t="s">
        <v>251</v>
      </c>
    </row>
    <row r="186" spans="3:6" x14ac:dyDescent="0.3">
      <c r="C186" s="187">
        <v>659</v>
      </c>
      <c r="D186" s="192" t="s">
        <v>531</v>
      </c>
      <c r="E186" s="194" t="s">
        <v>250</v>
      </c>
      <c r="F186" s="190" t="s">
        <v>251</v>
      </c>
    </row>
    <row r="187" spans="3:6" x14ac:dyDescent="0.3">
      <c r="C187" s="186">
        <v>662</v>
      </c>
      <c r="D187" s="191" t="s">
        <v>375</v>
      </c>
      <c r="E187" s="194" t="s">
        <v>250</v>
      </c>
      <c r="F187" s="190" t="s">
        <v>251</v>
      </c>
    </row>
    <row r="188" spans="3:6" x14ac:dyDescent="0.3">
      <c r="C188" s="188">
        <v>663</v>
      </c>
      <c r="D188" s="193" t="s">
        <v>532</v>
      </c>
      <c r="E188" s="194" t="s">
        <v>250</v>
      </c>
      <c r="F188" s="190" t="s">
        <v>251</v>
      </c>
    </row>
    <row r="189" spans="3:6" x14ac:dyDescent="0.3">
      <c r="C189" s="186">
        <v>670</v>
      </c>
      <c r="D189" s="191" t="s">
        <v>376</v>
      </c>
      <c r="E189" s="194" t="s">
        <v>250</v>
      </c>
      <c r="F189" s="190" t="s">
        <v>251</v>
      </c>
    </row>
    <row r="190" spans="3:6" x14ac:dyDescent="0.3">
      <c r="C190" s="189">
        <v>652</v>
      </c>
      <c r="D190" s="191" t="s">
        <v>530</v>
      </c>
      <c r="E190" s="194" t="s">
        <v>250</v>
      </c>
      <c r="F190" s="190" t="s">
        <v>251</v>
      </c>
    </row>
    <row r="191" spans="3:6" x14ac:dyDescent="0.3">
      <c r="C191" s="188">
        <v>534</v>
      </c>
      <c r="D191" s="193" t="s">
        <v>533</v>
      </c>
      <c r="E191" s="194" t="s">
        <v>250</v>
      </c>
      <c r="F191" s="190" t="s">
        <v>251</v>
      </c>
    </row>
    <row r="192" spans="3:6" x14ac:dyDescent="0.3">
      <c r="C192" s="186">
        <v>780</v>
      </c>
      <c r="D192" s="191" t="s">
        <v>377</v>
      </c>
      <c r="E192" s="194" t="s">
        <v>250</v>
      </c>
      <c r="F192" s="190" t="s">
        <v>251</v>
      </c>
    </row>
    <row r="193" spans="3:6" x14ac:dyDescent="0.3">
      <c r="C193" s="187">
        <v>796</v>
      </c>
      <c r="D193" s="192" t="s">
        <v>534</v>
      </c>
      <c r="E193" s="194" t="s">
        <v>250</v>
      </c>
      <c r="F193" s="190" t="s">
        <v>251</v>
      </c>
    </row>
    <row r="194" spans="3:6" x14ac:dyDescent="0.3">
      <c r="C194" s="186">
        <v>850</v>
      </c>
      <c r="D194" s="191" t="s">
        <v>378</v>
      </c>
      <c r="E194" s="194" t="s">
        <v>250</v>
      </c>
      <c r="F194" s="190" t="s">
        <v>251</v>
      </c>
    </row>
    <row r="195" spans="3:6" x14ac:dyDescent="0.3">
      <c r="C195" s="187">
        <v>84</v>
      </c>
      <c r="D195" s="192" t="s">
        <v>379</v>
      </c>
      <c r="E195" s="194" t="s">
        <v>250</v>
      </c>
      <c r="F195" s="190" t="s">
        <v>252</v>
      </c>
    </row>
    <row r="196" spans="3:6" x14ac:dyDescent="0.3">
      <c r="C196" s="186">
        <v>188</v>
      </c>
      <c r="D196" s="191" t="s">
        <v>380</v>
      </c>
      <c r="E196" s="194" t="s">
        <v>250</v>
      </c>
      <c r="F196" s="190" t="s">
        <v>252</v>
      </c>
    </row>
    <row r="197" spans="3:6" x14ac:dyDescent="0.3">
      <c r="C197" s="187">
        <v>222</v>
      </c>
      <c r="D197" s="192" t="s">
        <v>184</v>
      </c>
      <c r="E197" s="194" t="s">
        <v>250</v>
      </c>
      <c r="F197" s="190" t="s">
        <v>252</v>
      </c>
    </row>
    <row r="198" spans="3:6" x14ac:dyDescent="0.3">
      <c r="C198" s="186">
        <v>320</v>
      </c>
      <c r="D198" s="191" t="s">
        <v>190</v>
      </c>
      <c r="E198" s="194" t="s">
        <v>250</v>
      </c>
      <c r="F198" s="190" t="s">
        <v>252</v>
      </c>
    </row>
    <row r="199" spans="3:6" x14ac:dyDescent="0.3">
      <c r="C199" s="187">
        <v>340</v>
      </c>
      <c r="D199" s="192" t="s">
        <v>71</v>
      </c>
      <c r="E199" s="194" t="s">
        <v>250</v>
      </c>
      <c r="F199" s="190" t="s">
        <v>252</v>
      </c>
    </row>
    <row r="200" spans="3:6" x14ac:dyDescent="0.3">
      <c r="C200" s="186">
        <v>484</v>
      </c>
      <c r="D200" s="191" t="s">
        <v>381</v>
      </c>
      <c r="E200" s="194" t="s">
        <v>250</v>
      </c>
      <c r="F200" s="190" t="s">
        <v>252</v>
      </c>
    </row>
    <row r="201" spans="3:6" x14ac:dyDescent="0.3">
      <c r="C201" s="187">
        <v>558</v>
      </c>
      <c r="D201" s="192" t="s">
        <v>81</v>
      </c>
      <c r="E201" s="194" t="s">
        <v>250</v>
      </c>
      <c r="F201" s="190" t="s">
        <v>252</v>
      </c>
    </row>
    <row r="202" spans="3:6" x14ac:dyDescent="0.3">
      <c r="C202" s="186">
        <v>591</v>
      </c>
      <c r="D202" s="191" t="s">
        <v>382</v>
      </c>
      <c r="E202" s="194" t="s">
        <v>250</v>
      </c>
      <c r="F202" s="190" t="s">
        <v>252</v>
      </c>
    </row>
    <row r="203" spans="3:6" x14ac:dyDescent="0.3">
      <c r="C203" s="187">
        <v>32</v>
      </c>
      <c r="D203" s="192" t="s">
        <v>383</v>
      </c>
      <c r="E203" s="194" t="s">
        <v>250</v>
      </c>
      <c r="F203" s="190" t="s">
        <v>253</v>
      </c>
    </row>
    <row r="204" spans="3:6" x14ac:dyDescent="0.3">
      <c r="C204" s="186">
        <v>68</v>
      </c>
      <c r="D204" s="191" t="s">
        <v>165</v>
      </c>
      <c r="E204" s="194" t="s">
        <v>250</v>
      </c>
      <c r="F204" s="190" t="s">
        <v>253</v>
      </c>
    </row>
    <row r="205" spans="3:6" x14ac:dyDescent="0.3">
      <c r="C205" s="187">
        <v>76</v>
      </c>
      <c r="D205" s="192" t="s">
        <v>168</v>
      </c>
      <c r="E205" s="194" t="s">
        <v>250</v>
      </c>
      <c r="F205" s="190" t="s">
        <v>253</v>
      </c>
    </row>
    <row r="206" spans="3:6" x14ac:dyDescent="0.3">
      <c r="C206" s="186">
        <v>152</v>
      </c>
      <c r="D206" s="191" t="s">
        <v>384</v>
      </c>
      <c r="E206" s="194" t="s">
        <v>250</v>
      </c>
      <c r="F206" s="190" t="s">
        <v>253</v>
      </c>
    </row>
    <row r="207" spans="3:6" x14ac:dyDescent="0.3">
      <c r="C207" s="187">
        <v>170</v>
      </c>
      <c r="D207" s="192" t="s">
        <v>175</v>
      </c>
      <c r="E207" s="194" t="s">
        <v>250</v>
      </c>
      <c r="F207" s="190" t="s">
        <v>253</v>
      </c>
    </row>
    <row r="208" spans="3:6" x14ac:dyDescent="0.3">
      <c r="C208" s="186">
        <v>218</v>
      </c>
      <c r="D208" s="191" t="s">
        <v>182</v>
      </c>
      <c r="E208" s="194" t="s">
        <v>250</v>
      </c>
      <c r="F208" s="190" t="s">
        <v>253</v>
      </c>
    </row>
    <row r="209" spans="3:6" x14ac:dyDescent="0.3">
      <c r="C209" s="187">
        <v>238</v>
      </c>
      <c r="D209" s="192" t="s">
        <v>535</v>
      </c>
      <c r="E209" s="194" t="s">
        <v>250</v>
      </c>
      <c r="F209" s="190" t="s">
        <v>253</v>
      </c>
    </row>
    <row r="210" spans="3:6" x14ac:dyDescent="0.3">
      <c r="C210" s="186">
        <v>254</v>
      </c>
      <c r="D210" s="191" t="s">
        <v>385</v>
      </c>
      <c r="E210" s="194" t="s">
        <v>250</v>
      </c>
      <c r="F210" s="190" t="s">
        <v>253</v>
      </c>
    </row>
    <row r="211" spans="3:6" x14ac:dyDescent="0.3">
      <c r="C211" s="187">
        <v>328</v>
      </c>
      <c r="D211" s="192" t="s">
        <v>192</v>
      </c>
      <c r="E211" s="194" t="s">
        <v>250</v>
      </c>
      <c r="F211" s="190" t="s">
        <v>253</v>
      </c>
    </row>
    <row r="212" spans="3:6" x14ac:dyDescent="0.3">
      <c r="C212" s="186">
        <v>600</v>
      </c>
      <c r="D212" s="191" t="s">
        <v>206</v>
      </c>
      <c r="E212" s="194" t="s">
        <v>250</v>
      </c>
      <c r="F212" s="190" t="s">
        <v>253</v>
      </c>
    </row>
    <row r="213" spans="3:6" x14ac:dyDescent="0.3">
      <c r="C213" s="187">
        <v>604</v>
      </c>
      <c r="D213" s="192" t="s">
        <v>207</v>
      </c>
      <c r="E213" s="194" t="s">
        <v>250</v>
      </c>
      <c r="F213" s="190" t="s">
        <v>253</v>
      </c>
    </row>
    <row r="214" spans="3:6" x14ac:dyDescent="0.3">
      <c r="C214" s="186">
        <v>740</v>
      </c>
      <c r="D214" s="191" t="s">
        <v>386</v>
      </c>
      <c r="E214" s="194" t="s">
        <v>250</v>
      </c>
      <c r="F214" s="190" t="s">
        <v>253</v>
      </c>
    </row>
    <row r="215" spans="3:6" x14ac:dyDescent="0.3">
      <c r="C215" s="187">
        <v>858</v>
      </c>
      <c r="D215" s="192" t="s">
        <v>387</v>
      </c>
      <c r="E215" s="194" t="s">
        <v>250</v>
      </c>
      <c r="F215" s="190" t="s">
        <v>253</v>
      </c>
    </row>
    <row r="216" spans="3:6" x14ac:dyDescent="0.3">
      <c r="C216" s="186">
        <v>862</v>
      </c>
      <c r="D216" s="191" t="s">
        <v>388</v>
      </c>
      <c r="E216" s="194" t="s">
        <v>250</v>
      </c>
      <c r="F216" s="190" t="s">
        <v>253</v>
      </c>
    </row>
    <row r="217" spans="3:6" x14ac:dyDescent="0.3">
      <c r="C217" s="187">
        <v>60</v>
      </c>
      <c r="D217" s="192" t="s">
        <v>536</v>
      </c>
      <c r="E217" s="9" t="s">
        <v>568</v>
      </c>
      <c r="F217" s="9" t="s">
        <v>568</v>
      </c>
    </row>
    <row r="218" spans="3:6" x14ac:dyDescent="0.3">
      <c r="C218" s="186">
        <v>124</v>
      </c>
      <c r="D218" s="191" t="s">
        <v>390</v>
      </c>
      <c r="E218" s="9" t="s">
        <v>568</v>
      </c>
      <c r="F218" s="9" t="s">
        <v>568</v>
      </c>
    </row>
    <row r="219" spans="3:6" x14ac:dyDescent="0.3">
      <c r="C219" s="187">
        <v>304</v>
      </c>
      <c r="D219" s="192" t="s">
        <v>537</v>
      </c>
      <c r="E219" s="9" t="s">
        <v>568</v>
      </c>
      <c r="F219" s="9" t="s">
        <v>568</v>
      </c>
    </row>
    <row r="220" spans="3:6" x14ac:dyDescent="0.3">
      <c r="C220" s="186">
        <v>666</v>
      </c>
      <c r="D220" s="191" t="s">
        <v>538</v>
      </c>
      <c r="E220" s="9" t="s">
        <v>568</v>
      </c>
      <c r="F220" s="9" t="s">
        <v>568</v>
      </c>
    </row>
    <row r="221" spans="3:6" x14ac:dyDescent="0.3">
      <c r="C221" s="187">
        <v>840</v>
      </c>
      <c r="D221" s="192" t="s">
        <v>391</v>
      </c>
      <c r="E221" s="9" t="s">
        <v>568</v>
      </c>
      <c r="F221" s="9" t="s">
        <v>568</v>
      </c>
    </row>
    <row r="222" spans="3:6" x14ac:dyDescent="0.3">
      <c r="C222" s="187">
        <v>16</v>
      </c>
      <c r="D222" s="192" t="s">
        <v>561</v>
      </c>
      <c r="E222" s="197" t="s">
        <v>248</v>
      </c>
      <c r="F222" s="197" t="s">
        <v>248</v>
      </c>
    </row>
    <row r="223" spans="3:6" x14ac:dyDescent="0.3">
      <c r="C223" s="187">
        <v>36</v>
      </c>
      <c r="D223" s="192" t="s">
        <v>394</v>
      </c>
      <c r="E223" s="197" t="s">
        <v>248</v>
      </c>
      <c r="F223" s="197" t="s">
        <v>248</v>
      </c>
    </row>
    <row r="224" spans="3:6" x14ac:dyDescent="0.3">
      <c r="C224" s="186">
        <v>184</v>
      </c>
      <c r="D224" s="191" t="s">
        <v>562</v>
      </c>
      <c r="E224" s="197" t="s">
        <v>248</v>
      </c>
      <c r="F224" s="197" t="s">
        <v>248</v>
      </c>
    </row>
    <row r="225" spans="3:6" x14ac:dyDescent="0.3">
      <c r="C225" s="187">
        <v>242</v>
      </c>
      <c r="D225" s="192" t="s">
        <v>397</v>
      </c>
      <c r="E225" s="197" t="s">
        <v>248</v>
      </c>
      <c r="F225" s="197" t="s">
        <v>248</v>
      </c>
    </row>
    <row r="226" spans="3:6" x14ac:dyDescent="0.3">
      <c r="C226" s="187">
        <v>258</v>
      </c>
      <c r="D226" s="192" t="s">
        <v>405</v>
      </c>
      <c r="E226" s="197" t="s">
        <v>248</v>
      </c>
      <c r="F226" s="197" t="s">
        <v>248</v>
      </c>
    </row>
    <row r="227" spans="3:6" x14ac:dyDescent="0.3">
      <c r="C227" s="187">
        <v>316</v>
      </c>
      <c r="D227" s="192" t="s">
        <v>401</v>
      </c>
      <c r="E227" s="197" t="s">
        <v>248</v>
      </c>
      <c r="F227" s="197" t="s">
        <v>248</v>
      </c>
    </row>
    <row r="228" spans="3:6" x14ac:dyDescent="0.3">
      <c r="C228" s="186">
        <v>296</v>
      </c>
      <c r="D228" s="191" t="s">
        <v>402</v>
      </c>
      <c r="E228" s="197" t="s">
        <v>248</v>
      </c>
      <c r="F228" s="197" t="s">
        <v>248</v>
      </c>
    </row>
    <row r="229" spans="3:6" x14ac:dyDescent="0.3">
      <c r="C229" s="187">
        <v>584</v>
      </c>
      <c r="D229" s="192" t="s">
        <v>557</v>
      </c>
      <c r="E229" s="197" t="s">
        <v>248</v>
      </c>
      <c r="F229" s="197" t="s">
        <v>248</v>
      </c>
    </row>
    <row r="230" spans="3:6" x14ac:dyDescent="0.3">
      <c r="C230" s="186">
        <v>583</v>
      </c>
      <c r="D230" s="191" t="s">
        <v>496</v>
      </c>
      <c r="E230" s="197" t="s">
        <v>248</v>
      </c>
      <c r="F230" s="197" t="s">
        <v>248</v>
      </c>
    </row>
    <row r="231" spans="3:6" x14ac:dyDescent="0.3">
      <c r="C231" s="187">
        <v>520</v>
      </c>
      <c r="D231" s="192" t="s">
        <v>558</v>
      </c>
      <c r="E231" s="197" t="s">
        <v>248</v>
      </c>
      <c r="F231" s="197" t="s">
        <v>248</v>
      </c>
    </row>
    <row r="232" spans="3:6" x14ac:dyDescent="0.3">
      <c r="C232" s="186">
        <v>540</v>
      </c>
      <c r="D232" s="191" t="s">
        <v>398</v>
      </c>
      <c r="E232" s="197" t="s">
        <v>248</v>
      </c>
      <c r="F232" s="197" t="s">
        <v>248</v>
      </c>
    </row>
    <row r="233" spans="3:6" x14ac:dyDescent="0.3">
      <c r="C233" s="186">
        <v>554</v>
      </c>
      <c r="D233" s="191" t="s">
        <v>395</v>
      </c>
      <c r="E233" s="197" t="s">
        <v>248</v>
      </c>
      <c r="F233" s="197" t="s">
        <v>248</v>
      </c>
    </row>
    <row r="234" spans="3:6" x14ac:dyDescent="0.3">
      <c r="C234" s="186">
        <v>570</v>
      </c>
      <c r="D234" s="191" t="s">
        <v>563</v>
      </c>
      <c r="E234" s="197" t="s">
        <v>248</v>
      </c>
      <c r="F234" s="197" t="s">
        <v>248</v>
      </c>
    </row>
    <row r="235" spans="3:6" x14ac:dyDescent="0.3">
      <c r="C235" s="187">
        <v>574</v>
      </c>
      <c r="D235" s="192" t="s">
        <v>556</v>
      </c>
      <c r="E235" s="197" t="s">
        <v>248</v>
      </c>
      <c r="F235" s="197" t="s">
        <v>248</v>
      </c>
    </row>
    <row r="236" spans="3:6" x14ac:dyDescent="0.3">
      <c r="C236" s="186">
        <v>580</v>
      </c>
      <c r="D236" s="191" t="s">
        <v>559</v>
      </c>
      <c r="E236" s="197" t="s">
        <v>248</v>
      </c>
      <c r="F236" s="197" t="s">
        <v>248</v>
      </c>
    </row>
    <row r="237" spans="3:6" x14ac:dyDescent="0.3">
      <c r="C237" s="187">
        <v>585</v>
      </c>
      <c r="D237" s="192" t="s">
        <v>560</v>
      </c>
      <c r="E237" s="197" t="s">
        <v>248</v>
      </c>
      <c r="F237" s="197" t="s">
        <v>248</v>
      </c>
    </row>
    <row r="238" spans="3:6" x14ac:dyDescent="0.3">
      <c r="C238" s="187">
        <v>598</v>
      </c>
      <c r="D238" s="192" t="s">
        <v>82</v>
      </c>
      <c r="E238" s="197" t="s">
        <v>248</v>
      </c>
      <c r="F238" s="197" t="s">
        <v>248</v>
      </c>
    </row>
    <row r="239" spans="3:6" x14ac:dyDescent="0.3">
      <c r="C239" s="187">
        <v>612</v>
      </c>
      <c r="D239" s="192" t="s">
        <v>564</v>
      </c>
      <c r="E239" s="197" t="s">
        <v>248</v>
      </c>
      <c r="F239" s="197" t="s">
        <v>248</v>
      </c>
    </row>
    <row r="240" spans="3:6" x14ac:dyDescent="0.3">
      <c r="C240" s="186">
        <v>882</v>
      </c>
      <c r="D240" s="191" t="s">
        <v>406</v>
      </c>
      <c r="E240" s="197" t="s">
        <v>248</v>
      </c>
      <c r="F240" s="197" t="s">
        <v>248</v>
      </c>
    </row>
    <row r="241" spans="3:6" x14ac:dyDescent="0.3">
      <c r="C241" s="186">
        <v>90</v>
      </c>
      <c r="D241" s="191" t="s">
        <v>46</v>
      </c>
      <c r="E241" s="197" t="s">
        <v>248</v>
      </c>
      <c r="F241" s="197" t="s">
        <v>248</v>
      </c>
    </row>
    <row r="242" spans="3:6" x14ac:dyDescent="0.3">
      <c r="C242" s="187">
        <v>772</v>
      </c>
      <c r="D242" s="192" t="s">
        <v>565</v>
      </c>
      <c r="E242" s="197" t="s">
        <v>248</v>
      </c>
      <c r="F242" s="197" t="s">
        <v>248</v>
      </c>
    </row>
    <row r="243" spans="3:6" x14ac:dyDescent="0.3">
      <c r="C243" s="186">
        <v>776</v>
      </c>
      <c r="D243" s="191" t="s">
        <v>407</v>
      </c>
      <c r="E243" s="197" t="s">
        <v>248</v>
      </c>
      <c r="F243" s="197" t="s">
        <v>248</v>
      </c>
    </row>
    <row r="244" spans="3:6" x14ac:dyDescent="0.3">
      <c r="C244" s="187">
        <v>798</v>
      </c>
      <c r="D244" s="192" t="s">
        <v>566</v>
      </c>
      <c r="E244" s="197" t="s">
        <v>248</v>
      </c>
      <c r="F244" s="197" t="s">
        <v>248</v>
      </c>
    </row>
    <row r="245" spans="3:6" x14ac:dyDescent="0.3">
      <c r="C245" s="187">
        <v>548</v>
      </c>
      <c r="D245" s="192" t="s">
        <v>399</v>
      </c>
      <c r="E245" s="197" t="s">
        <v>248</v>
      </c>
      <c r="F245" s="197" t="s">
        <v>248</v>
      </c>
    </row>
    <row r="246" spans="3:6" x14ac:dyDescent="0.3">
      <c r="C246" s="186">
        <v>876</v>
      </c>
      <c r="D246" s="191" t="s">
        <v>567</v>
      </c>
      <c r="E246" s="197" t="s">
        <v>248</v>
      </c>
      <c r="F246" s="197" t="s">
        <v>248</v>
      </c>
    </row>
  </sheetData>
  <autoFilter ref="C5:F246" xr:uid="{00000000-0009-0000-0000-000012000000}">
    <sortState xmlns:xlrd2="http://schemas.microsoft.com/office/spreadsheetml/2017/richdata2" ref="C6:F246">
      <sortCondition ref="E6:E246"/>
      <sortCondition ref="F6:F246"/>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F4AB7-2D60-4AFE-A1A4-C523021F5009}">
  <sheetPr codeName="Sheet9">
    <tabColor theme="8"/>
    <pageSetUpPr autoPageBreaks="0"/>
  </sheetPr>
  <dimension ref="B1:AI172"/>
  <sheetViews>
    <sheetView showGridLines="0" zoomScale="90" zoomScaleNormal="90" workbookViewId="0">
      <selection activeCell="Q108" sqref="Q108"/>
    </sheetView>
  </sheetViews>
  <sheetFormatPr defaultColWidth="9.109375" defaultRowHeight="14.4" x14ac:dyDescent="0.3"/>
  <cols>
    <col min="1" max="1" width="3.33203125" style="9" customWidth="1"/>
    <col min="2" max="2" width="5.88671875" style="9" customWidth="1"/>
    <col min="3" max="3" width="16.33203125" style="9" customWidth="1"/>
    <col min="4" max="4" width="34.33203125" style="9" customWidth="1"/>
    <col min="5" max="23" width="12.88671875" style="9" customWidth="1"/>
    <col min="24" max="24" width="9.109375" style="9" customWidth="1"/>
    <col min="25" max="25" width="62.5546875" style="619" hidden="1" customWidth="1"/>
    <col min="26" max="26" width="70.88671875" style="619" hidden="1" customWidth="1"/>
    <col min="27" max="28" width="28.33203125" style="9" hidden="1" customWidth="1"/>
    <col min="29" max="35" width="2.109375" style="9" customWidth="1"/>
    <col min="36" max="39" width="9.109375" style="9" customWidth="1"/>
    <col min="40" max="16384" width="9.109375" style="9"/>
  </cols>
  <sheetData>
    <row r="1" spans="2:35" x14ac:dyDescent="0.3">
      <c r="Y1" s="31" t="s">
        <v>13</v>
      </c>
      <c r="Z1" s="32" t="s">
        <v>131</v>
      </c>
    </row>
    <row r="2" spans="2:35" ht="24" thickBot="1" x14ac:dyDescent="0.5">
      <c r="B2" s="46" t="str">
        <f>IF(Language="english", Y2, Z2)</f>
        <v>FP2030 Annual Indicator Calculator: Review Indicator Assumptions</v>
      </c>
      <c r="Y2" s="33" t="s">
        <v>1244</v>
      </c>
      <c r="Z2" s="33" t="s">
        <v>1238</v>
      </c>
    </row>
    <row r="3" spans="2:35" ht="6.75" hidden="1" customHeight="1" x14ac:dyDescent="0.35">
      <c r="C3" s="2"/>
    </row>
    <row r="4" spans="2:35" ht="6.75" hidden="1" customHeight="1" thickBot="1" x14ac:dyDescent="0.35">
      <c r="C4" s="1"/>
      <c r="Z4" s="28"/>
    </row>
    <row r="5" spans="2:35" ht="18" hidden="1" x14ac:dyDescent="0.35">
      <c r="C5" s="51" t="str">
        <f>IF(Language="English",Y5,Z5)</f>
        <v>Country</v>
      </c>
      <c r="D5" s="865">
        <f>'Review FPET Inputs'!D5</f>
        <v>0</v>
      </c>
      <c r="E5" s="865"/>
      <c r="J5" s="870" t="str">
        <f>IF(Language="English", Y6, Z6)</f>
        <v>Yellow Indicates a place where data should be entered.</v>
      </c>
      <c r="K5" s="871"/>
      <c r="L5" s="871"/>
      <c r="M5" s="871"/>
      <c r="N5" s="872"/>
      <c r="Y5" s="34" t="s">
        <v>29</v>
      </c>
      <c r="Z5" s="619" t="s">
        <v>52</v>
      </c>
      <c r="AC5" s="9" t="s">
        <v>13</v>
      </c>
      <c r="AD5" s="9" t="s">
        <v>125</v>
      </c>
      <c r="AE5" s="9" t="s">
        <v>127</v>
      </c>
      <c r="AF5" s="9" t="str">
        <f>IF(Language="English", AD5, AE5)</f>
        <v>yes</v>
      </c>
      <c r="AG5" s="9" t="s">
        <v>98</v>
      </c>
      <c r="AH5" s="9" t="s">
        <v>147</v>
      </c>
      <c r="AI5" s="9" t="str">
        <f>IF(Language="English", AG5, AH5)</f>
        <v>All women</v>
      </c>
    </row>
    <row r="6" spans="2:35" ht="10.5" hidden="1" customHeight="1" thickBot="1" x14ac:dyDescent="0.4">
      <c r="B6" s="50"/>
      <c r="C6" s="22"/>
      <c r="D6" s="916"/>
      <c r="E6" s="916"/>
      <c r="J6" s="873"/>
      <c r="K6" s="874"/>
      <c r="L6" s="874"/>
      <c r="M6" s="874"/>
      <c r="N6" s="875"/>
      <c r="Y6" s="34" t="s">
        <v>748</v>
      </c>
      <c r="Z6" s="619" t="s">
        <v>751</v>
      </c>
      <c r="AC6" s="9" t="s">
        <v>14</v>
      </c>
      <c r="AD6" s="9" t="s">
        <v>126</v>
      </c>
      <c r="AE6" s="9" t="s">
        <v>128</v>
      </c>
      <c r="AF6" s="9" t="str">
        <f>IF(Language="English", AD6, AE6)</f>
        <v>no</v>
      </c>
      <c r="AG6" s="9" t="s">
        <v>123</v>
      </c>
      <c r="AH6" s="9" t="s">
        <v>146</v>
      </c>
      <c r="AI6" s="9" t="str">
        <f>IF(Language="English", AG6, AH6)</f>
        <v>Married women</v>
      </c>
    </row>
    <row r="7" spans="2:35" ht="18.75" hidden="1" customHeight="1" x14ac:dyDescent="0.35">
      <c r="C7" s="51" t="str">
        <f>IF(Language=English,Y7, Z7)</f>
        <v>Language</v>
      </c>
      <c r="D7" s="867" t="str">
        <f>'Review FPET Inputs'!D7</f>
        <v>English</v>
      </c>
      <c r="E7" s="867"/>
      <c r="J7" s="876" t="str">
        <f>IF(Language="English", Y8, Z8)</f>
        <v xml:space="preserve">Blue indicates data that has been pre-populated and should be reviewed. </v>
      </c>
      <c r="K7" s="877"/>
      <c r="L7" s="877"/>
      <c r="M7" s="877"/>
      <c r="N7" s="878"/>
      <c r="Y7" s="34" t="s">
        <v>12</v>
      </c>
      <c r="Z7" s="619" t="s">
        <v>21</v>
      </c>
    </row>
    <row r="8" spans="2:35" ht="12" hidden="1" customHeight="1" thickBot="1" x14ac:dyDescent="0.4">
      <c r="C8" s="51"/>
      <c r="D8" s="916"/>
      <c r="E8" s="916"/>
      <c r="J8" s="879"/>
      <c r="K8" s="880"/>
      <c r="L8" s="880"/>
      <c r="M8" s="880"/>
      <c r="N8" s="881"/>
      <c r="Y8" s="34" t="s">
        <v>749</v>
      </c>
      <c r="Z8" s="619" t="s">
        <v>750</v>
      </c>
    </row>
    <row r="9" spans="2:35" ht="18" hidden="1" x14ac:dyDescent="0.35">
      <c r="C9" s="51" t="str">
        <f>IF(Language=English,Y9, Z9)</f>
        <v>Region</v>
      </c>
      <c r="D9" s="869" t="e">
        <f>VLOOKUP(Country, 'Region List'!$D$6:$F$246,3, FALSE)</f>
        <v>#N/A</v>
      </c>
      <c r="E9" s="869"/>
      <c r="F9" s="16" t="str">
        <f>IF(Language="english", Y10, Z10)</f>
        <v>(used to select correct regional assumptions)</v>
      </c>
      <c r="Y9" s="71" t="s">
        <v>235</v>
      </c>
      <c r="Z9" s="71" t="s">
        <v>236</v>
      </c>
    </row>
    <row r="10" spans="2:35" ht="15" hidden="1" thickBot="1" x14ac:dyDescent="0.35">
      <c r="Y10" s="29" t="s">
        <v>408</v>
      </c>
      <c r="Z10" s="27" t="s">
        <v>409</v>
      </c>
      <c r="AD10" s="12"/>
      <c r="AE10" s="12"/>
    </row>
    <row r="11" spans="2:35" ht="32.25" customHeight="1" thickBot="1" x14ac:dyDescent="0.35">
      <c r="B11" s="362" t="str">
        <f>IF(Language=English,Y11, Z11)</f>
        <v>4: Review population figures for Women of Reproductive Age (WRA) 15-49*</v>
      </c>
      <c r="C11" s="57"/>
      <c r="D11" s="57"/>
      <c r="E11" s="57"/>
      <c r="F11" s="57"/>
      <c r="G11" s="363"/>
      <c r="H11" s="363"/>
      <c r="I11" s="363"/>
      <c r="J11" s="363"/>
      <c r="K11" s="363"/>
      <c r="L11" s="363"/>
      <c r="M11" s="363"/>
      <c r="N11" s="363"/>
      <c r="O11" s="363"/>
      <c r="P11" s="363"/>
      <c r="Q11" s="363"/>
      <c r="R11" s="363"/>
      <c r="S11" s="363"/>
      <c r="T11" s="363"/>
      <c r="U11" s="363"/>
      <c r="V11" s="363"/>
      <c r="W11" s="363"/>
      <c r="X11" s="364"/>
      <c r="Y11" s="36" t="s">
        <v>902</v>
      </c>
      <c r="Z11" s="36" t="s">
        <v>903</v>
      </c>
    </row>
    <row r="12" spans="2:35" ht="15.6" x14ac:dyDescent="0.3">
      <c r="B12" s="185" t="str">
        <f>IF(Language="english",Y12,Z12)</f>
        <v xml:space="preserve">This is used to calculate the number of users of modern contraceptive methods and the impacts of contraceptive use. </v>
      </c>
      <c r="H12" s="47"/>
      <c r="Y12" s="619" t="s">
        <v>1259</v>
      </c>
      <c r="Z12" s="619" t="s">
        <v>1260</v>
      </c>
    </row>
    <row r="13" spans="2:35" x14ac:dyDescent="0.3">
      <c r="B13" s="116" t="str">
        <f>IF(Language="english", $Y13, $Z13)</f>
        <v xml:space="preserve">*Default population data provided from UNPD WPP 2019.  </v>
      </c>
      <c r="H13" s="47"/>
      <c r="Y13" s="17" t="s">
        <v>1057</v>
      </c>
      <c r="Z13" s="28" t="s">
        <v>900</v>
      </c>
    </row>
    <row r="14" spans="2:35" ht="9.75" customHeight="1" x14ac:dyDescent="0.3">
      <c r="B14" s="17"/>
      <c r="H14" s="47"/>
      <c r="Y14" s="17"/>
      <c r="Z14" s="28"/>
    </row>
    <row r="15" spans="2:35" s="60" customFormat="1" x14ac:dyDescent="0.3">
      <c r="E15" s="557">
        <v>2012</v>
      </c>
      <c r="F15" s="557">
        <v>2013</v>
      </c>
      <c r="G15" s="557">
        <v>2014</v>
      </c>
      <c r="H15" s="557">
        <v>2015</v>
      </c>
      <c r="I15" s="557">
        <v>2016</v>
      </c>
      <c r="J15" s="557">
        <v>2017</v>
      </c>
      <c r="K15" s="557">
        <v>2018</v>
      </c>
      <c r="L15" s="557">
        <v>2019</v>
      </c>
      <c r="M15" s="557">
        <v>2020</v>
      </c>
      <c r="N15" s="557">
        <v>2021</v>
      </c>
      <c r="O15" s="557">
        <v>2022</v>
      </c>
      <c r="P15" s="557">
        <v>2023</v>
      </c>
      <c r="Q15" s="557">
        <v>2024</v>
      </c>
      <c r="R15" s="557">
        <v>2025</v>
      </c>
      <c r="S15" s="557">
        <v>2026</v>
      </c>
      <c r="T15" s="557">
        <v>2027</v>
      </c>
      <c r="U15" s="557">
        <v>2028</v>
      </c>
      <c r="V15" s="557">
        <v>2029</v>
      </c>
      <c r="W15" s="557">
        <v>2030</v>
      </c>
    </row>
    <row r="16" spans="2:35" s="118" customFormat="1" ht="21" customHeight="1" x14ac:dyDescent="0.3">
      <c r="D16" s="43" t="str">
        <f>IF(Language="English", Y16, Z16)</f>
        <v>% Married</v>
      </c>
      <c r="E16" s="695" t="e">
        <f>VLOOKUP(Country, '% Married 2020'!$B$2:$AG$201, MATCH(E$15,'% Married 2020'!$B$2:$AG$2, 0), FALSE)</f>
        <v>#N/A</v>
      </c>
      <c r="F16" s="695" t="e">
        <f>VLOOKUP(Country, '% Married 2020'!$B$2:$AG$201, MATCH(F$15,'% Married 2020'!$B$2:$AG$2, 0), FALSE)</f>
        <v>#N/A</v>
      </c>
      <c r="G16" s="695" t="e">
        <f>VLOOKUP(Country, '% Married 2020'!$B$2:$AG$201, MATCH(G$15,'% Married 2020'!$B$2:$AG$2, 0), FALSE)</f>
        <v>#N/A</v>
      </c>
      <c r="H16" s="695" t="e">
        <f>VLOOKUP(Country, '% Married 2020'!$B$2:$AG$201, MATCH(H$15,'% Married 2020'!$B$2:$AG$2, 0), FALSE)</f>
        <v>#N/A</v>
      </c>
      <c r="I16" s="695" t="e">
        <f>VLOOKUP(Country, '% Married 2020'!$B$2:$AG$201, MATCH(I$15,'% Married 2020'!$B$2:$AG$2, 0), FALSE)</f>
        <v>#N/A</v>
      </c>
      <c r="J16" s="695" t="e">
        <f>VLOOKUP(Country, '% Married 2020'!$B$2:$AG$201, MATCH(J$15,'% Married 2020'!$B$2:$AG$2, 0), FALSE)</f>
        <v>#N/A</v>
      </c>
      <c r="K16" s="695" t="e">
        <f>VLOOKUP(Country, '% Married 2020'!$B$2:$AG$201, MATCH(K$15,'% Married 2020'!$B$2:$AG$2, 0), FALSE)</f>
        <v>#N/A</v>
      </c>
      <c r="L16" s="695" t="e">
        <f>VLOOKUP(Country, '% Married 2020'!$B$2:$AG$201, MATCH(L$15,'% Married 2020'!$B$2:$AG$2, 0), FALSE)</f>
        <v>#N/A</v>
      </c>
      <c r="M16" s="695" t="e">
        <f>VLOOKUP(Country, '% Married 2020'!$B$2:$AG$201, MATCH(M$15,'% Married 2020'!$B$2:$AG$2, 0), FALSE)</f>
        <v>#N/A</v>
      </c>
      <c r="N16" s="695" t="e">
        <f>VLOOKUP(Country, '% Married 2020'!$B$2:$AG$201, MATCH(N$15,'% Married 2020'!$B$2:$AG$2, 0), FALSE)</f>
        <v>#N/A</v>
      </c>
      <c r="O16" s="695" t="e">
        <f>VLOOKUP(Country, '% Married 2020'!$B$2:$AG$201, MATCH(O$15,'% Married 2020'!$B$2:$AG$2, 0), FALSE)</f>
        <v>#N/A</v>
      </c>
      <c r="P16" s="695" t="e">
        <f>VLOOKUP(Country, '% Married 2020'!$B$2:$AG$201, MATCH(P$15,'% Married 2020'!$B$2:$AG$2, 0), FALSE)</f>
        <v>#N/A</v>
      </c>
      <c r="Q16" s="695" t="e">
        <f>VLOOKUP(Country, '% Married 2020'!$B$2:$AG$201, MATCH(Q$15,'% Married 2020'!$B$2:$AG$2, 0), FALSE)</f>
        <v>#N/A</v>
      </c>
      <c r="R16" s="695" t="e">
        <f>VLOOKUP(Country, '% Married 2020'!$B$2:$AG$201, MATCH(R$15,'% Married 2020'!$B$2:$AG$2, 0), FALSE)</f>
        <v>#N/A</v>
      </c>
      <c r="S16" s="695" t="e">
        <f>VLOOKUP(Country, '% Married 2020'!$B$2:$AG$201, MATCH(S$15,'% Married 2020'!$B$2:$AG$2, 0), FALSE)</f>
        <v>#N/A</v>
      </c>
      <c r="T16" s="695" t="e">
        <f>VLOOKUP(Country, '% Married 2020'!$B$2:$AG$201, MATCH(T$15,'% Married 2020'!$B$2:$AG$2, 0), FALSE)</f>
        <v>#N/A</v>
      </c>
      <c r="U16" s="695" t="e">
        <f>VLOOKUP(Country, '% Married 2020'!$B$2:$AG$201, MATCH(U$15,'% Married 2020'!$B$2:$AG$2, 0), FALSE)</f>
        <v>#N/A</v>
      </c>
      <c r="V16" s="695" t="e">
        <f>VLOOKUP(Country, '% Married 2020'!$B$2:$AG$201, MATCH(V$15,'% Married 2020'!$B$2:$AG$2, 0), FALSE)</f>
        <v>#N/A</v>
      </c>
      <c r="W16" s="695" t="e">
        <f>VLOOKUP(Country, '% Married 2020'!$B$2:$AG$201, MATCH(W$15,'% Married 2020'!$B$2:$AG$2, 0), FALSE)</f>
        <v>#N/A</v>
      </c>
      <c r="Y16" s="118" t="s">
        <v>914</v>
      </c>
      <c r="Z16" s="118" t="s">
        <v>1005</v>
      </c>
    </row>
    <row r="17" spans="2:26" customFormat="1" ht="7.95" customHeight="1" x14ac:dyDescent="0.3"/>
    <row r="18" spans="2:26" s="44" customFormat="1" ht="22.2" customHeight="1" x14ac:dyDescent="0.3">
      <c r="D18" s="43" t="str">
        <f>IF(Language="English", Y18, Z18)</f>
        <v>Number of women (15-49)*</v>
      </c>
      <c r="E18" s="688" t="e">
        <f>VLOOKUP(Country, 'WPP 2019'!$B$3:$AG$201, MATCH('Assumption Review'!E$15,  'WPP 2019'!$B$2:$AG$2,0),FALSE)</f>
        <v>#N/A</v>
      </c>
      <c r="F18" s="688" t="e">
        <f>VLOOKUP(Country, 'WPP 2019'!$B$3:$AG$201, MATCH('Assumption Review'!F$15,  'WPP 2019'!$B$2:$AG$2,0),FALSE)</f>
        <v>#N/A</v>
      </c>
      <c r="G18" s="688" t="e">
        <f>VLOOKUP(Country, 'WPP 2019'!$B$3:$AG$201, MATCH('Assumption Review'!G$15,  'WPP 2019'!$B$2:$AG$2,0),FALSE)</f>
        <v>#N/A</v>
      </c>
      <c r="H18" s="688" t="e">
        <f>VLOOKUP(Country, 'WPP 2019'!$B$3:$AG$201, MATCH('Assumption Review'!H$15,  'WPP 2019'!$B$2:$AG$2,0),FALSE)</f>
        <v>#N/A</v>
      </c>
      <c r="I18" s="688" t="e">
        <f>VLOOKUP(Country, 'WPP 2019'!$B$3:$AG$201, MATCH('Assumption Review'!I$15,  'WPP 2019'!$B$2:$AG$2,0),FALSE)</f>
        <v>#N/A</v>
      </c>
      <c r="J18" s="688" t="e">
        <f>VLOOKUP(Country, 'WPP 2019'!$B$3:$AG$201, MATCH('Assumption Review'!J$15,  'WPP 2019'!$B$2:$AG$2,0),FALSE)</f>
        <v>#N/A</v>
      </c>
      <c r="K18" s="688" t="e">
        <f>VLOOKUP(Country, 'WPP 2019'!$B$3:$AG$201, MATCH('Assumption Review'!K$15,  'WPP 2019'!$B$2:$AG$2,0),FALSE)</f>
        <v>#N/A</v>
      </c>
      <c r="L18" s="688" t="e">
        <f>VLOOKUP(Country, 'WPP 2019'!$B$3:$AG$201, MATCH('Assumption Review'!L$15,  'WPP 2019'!$B$2:$AG$2,0),FALSE)</f>
        <v>#N/A</v>
      </c>
      <c r="M18" s="688" t="e">
        <f>VLOOKUP(Country, 'WPP 2019'!$B$3:$AG$201, MATCH('Assumption Review'!M$15,  'WPP 2019'!$B$2:$AG$2,0),FALSE)</f>
        <v>#N/A</v>
      </c>
      <c r="N18" s="688" t="e">
        <f>VLOOKUP(Country, 'WPP 2019'!$B$3:$AG$201, MATCH('Assumption Review'!N$15,  'WPP 2019'!$B$2:$AG$2,0),FALSE)</f>
        <v>#N/A</v>
      </c>
      <c r="O18" s="688" t="e">
        <f>VLOOKUP(Country, 'WPP 2019'!$B$3:$AG$201, MATCH('Assumption Review'!O$15,  'WPP 2019'!$B$2:$AG$2,0),FALSE)</f>
        <v>#N/A</v>
      </c>
      <c r="P18" s="688" t="e">
        <f>VLOOKUP(Country, 'WPP 2019'!$B$3:$AG$201, MATCH('Assumption Review'!P$15,  'WPP 2019'!$B$2:$AG$2,0),FALSE)</f>
        <v>#N/A</v>
      </c>
      <c r="Q18" s="688" t="e">
        <f>VLOOKUP(Country, 'WPP 2019'!$B$3:$AG$201, MATCH('Assumption Review'!Q$15,  'WPP 2019'!$B$2:$AG$2,0),FALSE)</f>
        <v>#N/A</v>
      </c>
      <c r="R18" s="688" t="e">
        <f>VLOOKUP(Country, 'WPP 2019'!$B$3:$AG$201, MATCH('Assumption Review'!R$15,  'WPP 2019'!$B$2:$AG$2,0),FALSE)</f>
        <v>#N/A</v>
      </c>
      <c r="S18" s="688" t="e">
        <f>VLOOKUP(Country, 'WPP 2019'!$B$3:$AG$201, MATCH('Assumption Review'!S$15,  'WPP 2019'!$B$2:$AG$2,0),FALSE)</f>
        <v>#N/A</v>
      </c>
      <c r="T18" s="688" t="e">
        <f>VLOOKUP(Country, 'WPP 2019'!$B$3:$AG$201, MATCH('Assumption Review'!T$15,  'WPP 2019'!$B$2:$AG$2,0),FALSE)</f>
        <v>#N/A</v>
      </c>
      <c r="U18" s="688" t="e">
        <f>VLOOKUP(Country, 'WPP 2019'!$B$3:$AG$201, MATCH('Assumption Review'!U$15,  'WPP 2019'!$B$2:$AG$2,0),FALSE)</f>
        <v>#N/A</v>
      </c>
      <c r="V18" s="688" t="e">
        <f>VLOOKUP(Country, 'WPP 2019'!$B$3:$AG$201, MATCH('Assumption Review'!V$15,  'WPP 2019'!$B$2:$AG$2,0),FALSE)</f>
        <v>#N/A</v>
      </c>
      <c r="W18" s="688" t="e">
        <f>VLOOKUP(Country, 'WPP 2019'!$B$3:$AG$201, MATCH('Assumption Review'!W$15,  'WPP 2019'!$B$2:$AG$2,0),FALSE)</f>
        <v>#N/A</v>
      </c>
      <c r="Y18" s="650" t="s">
        <v>109</v>
      </c>
      <c r="Z18" s="650" t="s">
        <v>136</v>
      </c>
    </row>
    <row r="19" spans="2:26" s="44" customFormat="1" ht="22.2" customHeight="1" x14ac:dyDescent="0.3">
      <c r="D19" s="43" t="str">
        <f>IF(Language="English", Y19, Z19)</f>
        <v>Number of married women (15-49)</v>
      </c>
      <c r="E19" s="688" t="e">
        <f>E18*E16</f>
        <v>#N/A</v>
      </c>
      <c r="F19" s="688" t="e">
        <f t="shared" ref="F19:W19" si="0">F18*F16</f>
        <v>#N/A</v>
      </c>
      <c r="G19" s="688" t="e">
        <f t="shared" si="0"/>
        <v>#N/A</v>
      </c>
      <c r="H19" s="688" t="e">
        <f t="shared" si="0"/>
        <v>#N/A</v>
      </c>
      <c r="I19" s="688" t="e">
        <f t="shared" si="0"/>
        <v>#N/A</v>
      </c>
      <c r="J19" s="688" t="e">
        <f t="shared" si="0"/>
        <v>#N/A</v>
      </c>
      <c r="K19" s="688" t="e">
        <f t="shared" si="0"/>
        <v>#N/A</v>
      </c>
      <c r="L19" s="688" t="e">
        <f t="shared" si="0"/>
        <v>#N/A</v>
      </c>
      <c r="M19" s="688" t="e">
        <f t="shared" si="0"/>
        <v>#N/A</v>
      </c>
      <c r="N19" s="688" t="e">
        <f t="shared" si="0"/>
        <v>#N/A</v>
      </c>
      <c r="O19" s="688" t="e">
        <f t="shared" si="0"/>
        <v>#N/A</v>
      </c>
      <c r="P19" s="688" t="e">
        <f t="shared" si="0"/>
        <v>#N/A</v>
      </c>
      <c r="Q19" s="688" t="e">
        <f t="shared" si="0"/>
        <v>#N/A</v>
      </c>
      <c r="R19" s="688" t="e">
        <f t="shared" si="0"/>
        <v>#N/A</v>
      </c>
      <c r="S19" s="688" t="e">
        <f t="shared" si="0"/>
        <v>#N/A</v>
      </c>
      <c r="T19" s="688" t="e">
        <f t="shared" si="0"/>
        <v>#N/A</v>
      </c>
      <c r="U19" s="688" t="e">
        <f t="shared" si="0"/>
        <v>#N/A</v>
      </c>
      <c r="V19" s="688" t="e">
        <f t="shared" si="0"/>
        <v>#N/A</v>
      </c>
      <c r="W19" s="688" t="e">
        <f t="shared" si="0"/>
        <v>#N/A</v>
      </c>
      <c r="Y19" s="689" t="s">
        <v>979</v>
      </c>
      <c r="Z19" s="650" t="s">
        <v>1004</v>
      </c>
    </row>
    <row r="20" spans="2:26" s="44" customFormat="1" ht="22.2" customHeight="1" x14ac:dyDescent="0.3">
      <c r="D20" s="43" t="str">
        <f>IF(Language="English", Y20, Z20)</f>
        <v>Number of unmarried women (15-49)</v>
      </c>
      <c r="E20" s="688" t="e">
        <f>E18-E19</f>
        <v>#N/A</v>
      </c>
      <c r="F20" s="688" t="e">
        <f t="shared" ref="F20:W20" si="1">F18-F19</f>
        <v>#N/A</v>
      </c>
      <c r="G20" s="688" t="e">
        <f t="shared" si="1"/>
        <v>#N/A</v>
      </c>
      <c r="H20" s="688" t="e">
        <f t="shared" si="1"/>
        <v>#N/A</v>
      </c>
      <c r="I20" s="688" t="e">
        <f t="shared" si="1"/>
        <v>#N/A</v>
      </c>
      <c r="J20" s="688" t="e">
        <f t="shared" si="1"/>
        <v>#N/A</v>
      </c>
      <c r="K20" s="688" t="e">
        <f t="shared" si="1"/>
        <v>#N/A</v>
      </c>
      <c r="L20" s="688" t="e">
        <f t="shared" si="1"/>
        <v>#N/A</v>
      </c>
      <c r="M20" s="688" t="e">
        <f t="shared" si="1"/>
        <v>#N/A</v>
      </c>
      <c r="N20" s="688" t="e">
        <f t="shared" si="1"/>
        <v>#N/A</v>
      </c>
      <c r="O20" s="688" t="e">
        <f t="shared" si="1"/>
        <v>#N/A</v>
      </c>
      <c r="P20" s="688" t="e">
        <f t="shared" si="1"/>
        <v>#N/A</v>
      </c>
      <c r="Q20" s="688" t="e">
        <f t="shared" si="1"/>
        <v>#N/A</v>
      </c>
      <c r="R20" s="688" t="e">
        <f t="shared" si="1"/>
        <v>#N/A</v>
      </c>
      <c r="S20" s="688" t="e">
        <f t="shared" si="1"/>
        <v>#N/A</v>
      </c>
      <c r="T20" s="688" t="e">
        <f t="shared" si="1"/>
        <v>#N/A</v>
      </c>
      <c r="U20" s="688" t="e">
        <f t="shared" si="1"/>
        <v>#N/A</v>
      </c>
      <c r="V20" s="688" t="e">
        <f t="shared" si="1"/>
        <v>#N/A</v>
      </c>
      <c r="W20" s="688" t="e">
        <f t="shared" si="1"/>
        <v>#N/A</v>
      </c>
      <c r="Y20" s="689" t="s">
        <v>980</v>
      </c>
      <c r="Z20" s="650" t="s">
        <v>1003</v>
      </c>
    </row>
    <row r="21" spans="2:26" ht="15" customHeight="1" x14ac:dyDescent="0.3"/>
    <row r="22" spans="2:26" ht="8.25" hidden="1" customHeight="1" x14ac:dyDescent="0.3">
      <c r="D22" s="16"/>
    </row>
    <row r="23" spans="2:26" ht="34.200000000000003" hidden="1" customHeight="1" x14ac:dyDescent="0.3">
      <c r="D23" s="43" t="str">
        <f>IF(Language="English", Y23, Z23)</f>
        <v>Source for % Married 
(if changed default):</v>
      </c>
      <c r="E23" s="903"/>
      <c r="F23" s="904"/>
      <c r="G23" s="904"/>
      <c r="H23" s="904"/>
      <c r="I23" s="905"/>
      <c r="M23" s="3"/>
      <c r="N23" s="3"/>
      <c r="O23" s="3"/>
      <c r="P23" s="3"/>
      <c r="Q23" s="3"/>
      <c r="Y23" s="13" t="s">
        <v>1000</v>
      </c>
      <c r="Z23" s="636" t="s">
        <v>1006</v>
      </c>
    </row>
    <row r="24" spans="2:26" ht="34.200000000000003" hidden="1" customHeight="1" x14ac:dyDescent="0.3">
      <c r="D24" s="43" t="str">
        <f>IF(Language="English", Y24, Z24)</f>
        <v>Source for Population 
(if changed default)</v>
      </c>
      <c r="E24" s="903"/>
      <c r="F24" s="904"/>
      <c r="G24" s="904"/>
      <c r="H24" s="904"/>
      <c r="I24" s="905"/>
      <c r="M24" s="3"/>
      <c r="N24" s="3"/>
      <c r="O24" s="3"/>
      <c r="P24" s="3"/>
      <c r="Q24" s="3"/>
      <c r="Y24" s="13" t="s">
        <v>1001</v>
      </c>
      <c r="Z24" s="636" t="s">
        <v>1002</v>
      </c>
    </row>
    <row r="25" spans="2:26" ht="15" thickBot="1" x14ac:dyDescent="0.35">
      <c r="Y25" s="13"/>
      <c r="Z25" s="13"/>
    </row>
    <row r="26" spans="2:26" ht="32.25" customHeight="1" thickBot="1" x14ac:dyDescent="0.35">
      <c r="B26" s="362" t="str">
        <f>IF(Language=English,Y26, Z26)</f>
        <v>5: Review annual numbers of live births</v>
      </c>
      <c r="C26" s="57"/>
      <c r="D26" s="57"/>
      <c r="E26" s="57"/>
      <c r="F26" s="57"/>
      <c r="G26" s="363"/>
      <c r="H26" s="363"/>
      <c r="I26" s="363"/>
      <c r="J26" s="363"/>
      <c r="K26" s="363"/>
      <c r="L26" s="363"/>
      <c r="M26" s="363"/>
      <c r="N26" s="363"/>
      <c r="O26" s="363"/>
      <c r="P26" s="363"/>
      <c r="Q26" s="363"/>
      <c r="R26" s="363"/>
      <c r="S26" s="363"/>
      <c r="T26" s="363"/>
      <c r="U26" s="363"/>
      <c r="V26" s="363"/>
      <c r="W26" s="363"/>
      <c r="X26" s="364"/>
      <c r="Y26" s="36" t="s">
        <v>904</v>
      </c>
      <c r="Z26" s="36" t="s">
        <v>905</v>
      </c>
    </row>
    <row r="27" spans="2:26" ht="15" customHeight="1" x14ac:dyDescent="0.3">
      <c r="B27" s="185" t="str">
        <f>IF(Language=English, $Y$27, $Z$27)</f>
        <v xml:space="preserve">This is used to calculate the number of unintended pregnancies. </v>
      </c>
      <c r="C27" s="49"/>
      <c r="D27" s="49"/>
      <c r="E27" s="49"/>
      <c r="F27" s="49"/>
      <c r="G27" s="49"/>
      <c r="H27" s="49"/>
      <c r="I27" s="49"/>
      <c r="J27" s="49"/>
      <c r="K27" s="49"/>
      <c r="L27" s="49"/>
      <c r="M27" s="49"/>
      <c r="N27" s="49"/>
      <c r="O27" s="49"/>
      <c r="P27" s="49"/>
      <c r="Q27" s="49"/>
      <c r="R27" s="49"/>
      <c r="S27" s="49"/>
      <c r="T27" s="49"/>
      <c r="U27" s="49"/>
      <c r="V27" s="49"/>
      <c r="W27" s="49"/>
      <c r="X27" s="49"/>
      <c r="Y27" s="27" t="s">
        <v>1261</v>
      </c>
      <c r="Z27" s="27" t="s">
        <v>1262</v>
      </c>
    </row>
    <row r="28" spans="2:26" ht="17.25" customHeight="1" x14ac:dyDescent="0.3">
      <c r="B28" s="116" t="str">
        <f>IF(Language="english", $Y28, $Z28)</f>
        <v>The figures below are estimates from the UNPD WPP 2019.  You may chose to replace these with birth numbers from Spectrum.*</v>
      </c>
      <c r="F28" s="5"/>
      <c r="Y28" s="29" t="s">
        <v>901</v>
      </c>
      <c r="Z28" s="29" t="s">
        <v>945</v>
      </c>
    </row>
    <row r="29" spans="2:26" ht="13.5" customHeight="1" x14ac:dyDescent="0.3">
      <c r="C29" s="16"/>
      <c r="F29" s="5"/>
      <c r="Y29" s="29"/>
      <c r="Z29" s="29"/>
    </row>
    <row r="30" spans="2:26" s="60" customFormat="1" x14ac:dyDescent="0.3">
      <c r="E30" s="557">
        <v>2012</v>
      </c>
      <c r="F30" s="557">
        <v>2013</v>
      </c>
      <c r="G30" s="557">
        <v>2014</v>
      </c>
      <c r="H30" s="557">
        <v>2015</v>
      </c>
      <c r="I30" s="557">
        <v>2016</v>
      </c>
      <c r="J30" s="557">
        <v>2017</v>
      </c>
      <c r="K30" s="557">
        <v>2018</v>
      </c>
      <c r="L30" s="557">
        <v>2019</v>
      </c>
      <c r="M30" s="557">
        <v>2020</v>
      </c>
      <c r="N30" s="557">
        <v>2021</v>
      </c>
      <c r="O30" s="557">
        <v>2022</v>
      </c>
      <c r="P30" s="557">
        <v>2023</v>
      </c>
      <c r="Q30" s="557">
        <v>2024</v>
      </c>
      <c r="R30" s="557">
        <v>2025</v>
      </c>
      <c r="S30" s="557">
        <v>2026</v>
      </c>
      <c r="T30" s="557">
        <v>2027</v>
      </c>
      <c r="U30" s="557">
        <v>2028</v>
      </c>
      <c r="V30" s="557">
        <v>2029</v>
      </c>
      <c r="W30" s="557">
        <v>2030</v>
      </c>
    </row>
    <row r="31" spans="2:26" x14ac:dyDescent="0.3">
      <c r="D31" s="621" t="str">
        <f>IF(Language="English", Y31, Z31)</f>
        <v>Annual number of live births</v>
      </c>
      <c r="E31" s="379" t="e">
        <f>VLOOKUP(Country, 'WPP_Births 2019'!$A$4:$U$239, MATCH('Assumption Review'!E$30, 'WPP_Births 2019'!$A$3:$U$3,0),FALSE)</f>
        <v>#N/A</v>
      </c>
      <c r="F31" s="379" t="e">
        <f>VLOOKUP(Country, 'WPP_Births 2019'!$A$4:$U$239, MATCH('Assumption Review'!F$30, 'WPP_Births 2019'!$A$3:$U$3,0),FALSE)</f>
        <v>#N/A</v>
      </c>
      <c r="G31" s="379" t="e">
        <f>VLOOKUP(Country, 'WPP_Births 2019'!$A$4:$U$239, MATCH('Assumption Review'!G$30, 'WPP_Births 2019'!$A$3:$U$3,0),FALSE)</f>
        <v>#N/A</v>
      </c>
      <c r="H31" s="379" t="e">
        <f>VLOOKUP(Country, 'WPP_Births 2019'!$A$4:$U$239, MATCH('Assumption Review'!H$30, 'WPP_Births 2019'!$A$3:$U$3,0),FALSE)</f>
        <v>#N/A</v>
      </c>
      <c r="I31" s="379" t="e">
        <f>VLOOKUP(Country, 'WPP_Births 2019'!$A$4:$U$239, MATCH('Assumption Review'!I$30, 'WPP_Births 2019'!$A$3:$U$3,0),FALSE)</f>
        <v>#N/A</v>
      </c>
      <c r="J31" s="379" t="e">
        <f>VLOOKUP(Country, 'WPP_Births 2019'!$A$4:$U$239, MATCH('Assumption Review'!J$30, 'WPP_Births 2019'!$A$3:$U$3,0),FALSE)</f>
        <v>#N/A</v>
      </c>
      <c r="K31" s="379" t="e">
        <f>VLOOKUP(Country, 'WPP_Births 2019'!$A$4:$U$239, MATCH('Assumption Review'!K$30, 'WPP_Births 2019'!$A$3:$U$3,0),FALSE)</f>
        <v>#N/A</v>
      </c>
      <c r="L31" s="379" t="e">
        <f>VLOOKUP(Country, 'WPP_Births 2019'!$A$4:$U$239, MATCH('Assumption Review'!L$30, 'WPP_Births 2019'!$A$3:$U$3,0),FALSE)</f>
        <v>#N/A</v>
      </c>
      <c r="M31" s="379" t="e">
        <f>VLOOKUP(Country, 'WPP_Births 2019'!$A$4:$U$239, MATCH('Assumption Review'!M$30, 'WPP_Births 2019'!$A$3:$U$3,0),FALSE)</f>
        <v>#N/A</v>
      </c>
      <c r="N31" s="379" t="e">
        <f>VLOOKUP(Country, 'WPP_Births 2019'!$A$4:$U$239, MATCH('Assumption Review'!N$30, 'WPP_Births 2019'!$A$3:$U$3,0),FALSE)</f>
        <v>#N/A</v>
      </c>
      <c r="O31" s="379" t="e">
        <f>VLOOKUP(Country, 'WPP_Births 2019'!$A$4:$U$239, MATCH('Assumption Review'!O$30, 'WPP_Births 2019'!$A$3:$U$3,0),FALSE)</f>
        <v>#N/A</v>
      </c>
      <c r="P31" s="379" t="e">
        <f>VLOOKUP(Country, 'WPP_Births 2019'!$A$4:$U$239, MATCH('Assumption Review'!P$30, 'WPP_Births 2019'!$A$3:$U$3,0),FALSE)</f>
        <v>#N/A</v>
      </c>
      <c r="Q31" s="379" t="e">
        <f>VLOOKUP(Country, 'WPP_Births 2019'!$A$4:$U$239, MATCH('Assumption Review'!Q$30, 'WPP_Births 2019'!$A$3:$U$3,0),FALSE)</f>
        <v>#N/A</v>
      </c>
      <c r="R31" s="379" t="e">
        <f>VLOOKUP(Country, 'WPP_Births 2019'!$A$4:$U$239, MATCH('Assumption Review'!R$30, 'WPP_Births 2019'!$A$3:$U$3,0),FALSE)</f>
        <v>#N/A</v>
      </c>
      <c r="S31" s="379" t="e">
        <f>VLOOKUP(Country, 'WPP_Births 2019'!$A$4:$U$239, MATCH('Assumption Review'!S$30, 'WPP_Births 2019'!$A$3:$U$3,0),FALSE)</f>
        <v>#N/A</v>
      </c>
      <c r="T31" s="379" t="e">
        <f>VLOOKUP(Country, 'WPP_Births 2019'!$A$4:$U$239, MATCH('Assumption Review'!T$30, 'WPP_Births 2019'!$A$3:$U$3,0),FALSE)</f>
        <v>#N/A</v>
      </c>
      <c r="U31" s="379" t="e">
        <f>VLOOKUP(Country, 'WPP_Births 2019'!$A$4:$U$239, MATCH('Assumption Review'!U$30, 'WPP_Births 2019'!$A$3:$U$3,0),FALSE)</f>
        <v>#N/A</v>
      </c>
      <c r="V31" s="379" t="e">
        <f>VLOOKUP(Country, 'WPP_Births 2019'!$A$4:$U$239, MATCH('Assumption Review'!V$30, 'WPP_Births 2019'!$A$3:$U$3,0),FALSE)</f>
        <v>#N/A</v>
      </c>
      <c r="W31" s="379" t="e">
        <f>VLOOKUP(Country, 'WPP_Births 2019'!$A$4:$U$239, MATCH('Assumption Review'!W$30, 'WPP_Births 2019'!$A$3:$U$3,0),FALSE)</f>
        <v>#N/A</v>
      </c>
      <c r="Y31" s="71" t="s">
        <v>410</v>
      </c>
      <c r="Z31" s="71" t="s">
        <v>411</v>
      </c>
    </row>
    <row r="32" spans="2:26" x14ac:dyDescent="0.3">
      <c r="F32" s="5"/>
      <c r="Y32" s="27"/>
      <c r="Z32" s="27"/>
    </row>
    <row r="33" spans="2:31" ht="25.5" customHeight="1" x14ac:dyDescent="0.3">
      <c r="D33" s="43" t="str">
        <f>IF(Language="English", Y33, Z33)</f>
        <v>Source (if changed default):</v>
      </c>
      <c r="E33" s="903"/>
      <c r="F33" s="904"/>
      <c r="G33" s="904"/>
      <c r="H33" s="904"/>
      <c r="I33" s="905"/>
      <c r="Y33" s="27" t="s">
        <v>121</v>
      </c>
      <c r="Z33" s="27" t="s">
        <v>142</v>
      </c>
    </row>
    <row r="34" spans="2:31" x14ac:dyDescent="0.3">
      <c r="Y34" s="27"/>
      <c r="Z34" s="27"/>
    </row>
    <row r="35" spans="2:31" ht="15" thickBot="1" x14ac:dyDescent="0.35">
      <c r="C35" s="16" t="str">
        <f>IF(Language="english", $Y35, $Z35)</f>
        <v>*To get these from Spectrum-- run DemProj on Easy Proj, and pick 'live births' as your result.</v>
      </c>
      <c r="Y35" s="29" t="s">
        <v>412</v>
      </c>
      <c r="Z35" s="29" t="s">
        <v>413</v>
      </c>
    </row>
    <row r="36" spans="2:31" ht="32.25" customHeight="1" thickBot="1" x14ac:dyDescent="0.35">
      <c r="B36" s="362" t="str">
        <f>IF(Language=English,Y36, Z36)</f>
        <v>6: Review information about pregnancy intention:</v>
      </c>
      <c r="C36" s="57"/>
      <c r="D36" s="57"/>
      <c r="E36" s="57"/>
      <c r="F36" s="57"/>
      <c r="G36" s="363"/>
      <c r="H36" s="363"/>
      <c r="I36" s="363"/>
      <c r="J36" s="363"/>
      <c r="K36" s="363"/>
      <c r="L36" s="363"/>
      <c r="M36" s="363"/>
      <c r="N36" s="363"/>
      <c r="O36" s="363"/>
      <c r="P36" s="363"/>
      <c r="Q36" s="363"/>
      <c r="R36" s="363"/>
      <c r="S36" s="363"/>
      <c r="T36" s="363"/>
      <c r="U36" s="363"/>
      <c r="V36" s="363"/>
      <c r="W36" s="363"/>
      <c r="X36" s="364"/>
      <c r="Y36" s="36" t="s">
        <v>906</v>
      </c>
      <c r="Z36" s="36" t="s">
        <v>907</v>
      </c>
    </row>
    <row r="37" spans="2:31" ht="15" customHeight="1" x14ac:dyDescent="0.3">
      <c r="B37" s="185" t="str">
        <f>IF(Language=English,Y37, Z37)</f>
        <v xml:space="preserve">This is used to calculate the number of unintended pregnancies. </v>
      </c>
      <c r="C37" s="49"/>
      <c r="D37" s="49"/>
      <c r="E37" s="49"/>
      <c r="F37" s="49"/>
      <c r="G37" s="49"/>
      <c r="H37" s="49"/>
      <c r="I37" s="49"/>
      <c r="J37" s="49"/>
      <c r="K37" s="49"/>
      <c r="L37" s="49"/>
      <c r="M37" s="49"/>
      <c r="N37" s="49"/>
      <c r="O37" s="49"/>
      <c r="P37" s="49"/>
      <c r="Q37" s="49"/>
      <c r="R37" s="49"/>
      <c r="S37" s="49"/>
      <c r="T37" s="49"/>
      <c r="U37" s="49"/>
      <c r="V37" s="49"/>
      <c r="W37" s="49"/>
      <c r="X37" s="49"/>
      <c r="Y37" s="27" t="s">
        <v>1261</v>
      </c>
      <c r="Z37" s="27" t="s">
        <v>1262</v>
      </c>
    </row>
    <row r="38" spans="2:31" s="73" customFormat="1" ht="34.5" customHeight="1" x14ac:dyDescent="0.3">
      <c r="B38" s="906" t="str">
        <f>IF(Language="english", $Y38, $Z38)</f>
        <v>Data has been pre-populated from your latest DHS, if available, or using regional estimates.  You may wish to update this with a different source (e.g. PMA2020).  These results are usually found under the heading Fertility Preferences.</v>
      </c>
      <c r="C38" s="906"/>
      <c r="D38" s="906"/>
      <c r="E38" s="906"/>
      <c r="F38" s="906"/>
      <c r="G38" s="906"/>
      <c r="H38" s="906"/>
      <c r="I38" s="906"/>
      <c r="J38" s="906"/>
      <c r="K38" s="906"/>
      <c r="L38" s="906"/>
      <c r="M38" s="906"/>
      <c r="N38" s="115"/>
      <c r="O38" s="115"/>
      <c r="P38" s="115"/>
      <c r="Q38" s="115"/>
      <c r="R38" s="115"/>
      <c r="S38" s="115"/>
      <c r="T38" s="115"/>
      <c r="U38" s="115"/>
      <c r="V38" s="115"/>
      <c r="W38" s="115"/>
      <c r="X38" s="115"/>
      <c r="Y38" s="72" t="s">
        <v>414</v>
      </c>
      <c r="Z38" s="72" t="s">
        <v>946</v>
      </c>
    </row>
    <row r="39" spans="2:31" ht="9" customHeight="1" x14ac:dyDescent="0.3">
      <c r="B39" s="74"/>
      <c r="C39" s="16"/>
      <c r="Y39" s="27"/>
      <c r="Z39" s="27"/>
    </row>
    <row r="40" spans="2:31" x14ac:dyDescent="0.3">
      <c r="D40" s="907" t="str">
        <f>IF(Language="English", Y40, Z40)</f>
        <v>Percent of births</v>
      </c>
      <c r="E40" s="907"/>
      <c r="H40" s="16"/>
      <c r="Y40" s="75" t="s">
        <v>415</v>
      </c>
      <c r="Z40" s="75" t="s">
        <v>416</v>
      </c>
    </row>
    <row r="41" spans="2:31" x14ac:dyDescent="0.3">
      <c r="D41" s="621" t="str">
        <f>IF(Language="English", Y41, Z41)</f>
        <v xml:space="preserve">  Wanted later</v>
      </c>
      <c r="E41" s="809" t="e">
        <f>VLOOKUP(Country, 'DHS_planning status'!$H$3:$K$73, 2, FALSE)/100</f>
        <v>#N/A</v>
      </c>
      <c r="Y41" s="76" t="s">
        <v>417</v>
      </c>
      <c r="Z41" s="76" t="s">
        <v>418</v>
      </c>
      <c r="AA41" s="27"/>
    </row>
    <row r="42" spans="2:31" x14ac:dyDescent="0.3">
      <c r="D42" s="621" t="str">
        <f>IF(Language="English", Y42, Z42)</f>
        <v>Wanted no more</v>
      </c>
      <c r="E42" s="809" t="e">
        <f>VLOOKUP(Country, 'DHS_planning status'!$H$3:$K$73, 3, FALSE)/100</f>
        <v>#N/A</v>
      </c>
      <c r="Y42" s="76" t="s">
        <v>158</v>
      </c>
      <c r="Z42" s="76" t="s">
        <v>419</v>
      </c>
    </row>
    <row r="43" spans="2:31" x14ac:dyDescent="0.3">
      <c r="D43" s="77"/>
      <c r="Y43" s="78"/>
      <c r="Z43" s="78"/>
    </row>
    <row r="44" spans="2:31" x14ac:dyDescent="0.3">
      <c r="D44" s="620" t="s">
        <v>120</v>
      </c>
      <c r="E44" s="908" t="e">
        <f>VLOOKUP(Country, 'DHS_planning status'!$H$3:$K$73,4, FALSE)</f>
        <v>#N/A</v>
      </c>
      <c r="F44" s="909"/>
      <c r="G44" s="909"/>
      <c r="H44" s="910"/>
      <c r="Y44" s="27"/>
      <c r="Z44" s="27"/>
    </row>
    <row r="45" spans="2:31" ht="15" thickBot="1" x14ac:dyDescent="0.35">
      <c r="C45" s="8"/>
      <c r="D45" s="79"/>
      <c r="F45" s="80"/>
      <c r="G45" s="16"/>
      <c r="Y45" s="27"/>
      <c r="Z45" s="27"/>
      <c r="AD45" s="12"/>
      <c r="AE45" s="12"/>
    </row>
    <row r="46" spans="2:31" ht="32.25" hidden="1" customHeight="1" x14ac:dyDescent="0.3">
      <c r="B46" s="387" t="str">
        <f>IF(Language=English,Y46, Z46)</f>
        <v>OPTIONAL: Review the Maternal Mortality Ratio (MMR)</v>
      </c>
      <c r="C46" s="388"/>
      <c r="D46" s="388"/>
      <c r="E46" s="388"/>
      <c r="F46" s="388"/>
      <c r="G46" s="389"/>
      <c r="H46" s="389"/>
      <c r="I46" s="389"/>
      <c r="J46" s="389"/>
      <c r="K46" s="389"/>
      <c r="L46" s="389"/>
      <c r="M46" s="389"/>
      <c r="N46" s="389"/>
      <c r="O46" s="389"/>
      <c r="P46" s="389"/>
      <c r="Q46" s="389"/>
      <c r="R46" s="389"/>
      <c r="S46" s="389"/>
      <c r="T46" s="389"/>
      <c r="U46" s="389"/>
      <c r="V46" s="389"/>
      <c r="W46" s="389"/>
      <c r="X46" s="389"/>
      <c r="Y46" s="36" t="s">
        <v>746</v>
      </c>
      <c r="Z46" s="36" t="s">
        <v>745</v>
      </c>
    </row>
    <row r="47" spans="2:31" ht="13.5" hidden="1" customHeight="1" x14ac:dyDescent="0.3">
      <c r="B47" s="386" t="str">
        <f>IF(Language=English,Y47, Z47)</f>
        <v>This is used to calculate the number of maternal deaths averted for Indicator 8.</v>
      </c>
      <c r="C47" s="49"/>
      <c r="D47" s="49"/>
      <c r="E47" s="49"/>
      <c r="F47" s="49"/>
      <c r="G47" s="49"/>
      <c r="H47" s="49"/>
      <c r="I47" s="49"/>
      <c r="J47" s="49"/>
      <c r="K47" s="49"/>
      <c r="L47" s="49"/>
      <c r="M47" s="49"/>
      <c r="N47" s="49"/>
      <c r="O47" s="49"/>
      <c r="P47" s="49"/>
      <c r="Q47" s="49"/>
      <c r="R47" s="49"/>
      <c r="S47" s="49"/>
      <c r="T47" s="49"/>
      <c r="U47" s="49"/>
      <c r="V47" s="49"/>
      <c r="W47" s="49"/>
      <c r="X47" s="49"/>
      <c r="Y47" s="27" t="s">
        <v>618</v>
      </c>
      <c r="Z47" s="27" t="s">
        <v>619</v>
      </c>
      <c r="AD47" s="12"/>
      <c r="AE47" s="12"/>
    </row>
    <row r="48" spans="2:31" ht="15" hidden="1" customHeight="1" x14ac:dyDescent="0.3">
      <c r="B48" s="906" t="str">
        <f>IF(Language="english", $Y48, $Z48)</f>
        <v xml:space="preserve">The number below is the 2017 MMR from the WHO.*  We recommend the WHO as the best source, as it uses statistically rigorous methodology and incorporates multiple sources of data. If you chose to replace this with an MMR from another source, you will need to justify the change and document the source. </v>
      </c>
      <c r="C48" s="906"/>
      <c r="D48" s="906"/>
      <c r="E48" s="906"/>
      <c r="F48" s="906"/>
      <c r="G48" s="906"/>
      <c r="H48" s="906"/>
      <c r="I48" s="906"/>
      <c r="J48" s="906"/>
      <c r="K48" s="906"/>
      <c r="L48" s="906"/>
      <c r="M48" s="906"/>
      <c r="N48" s="906"/>
      <c r="O48" s="906"/>
      <c r="P48" s="906"/>
      <c r="Q48" s="906"/>
      <c r="R48" s="906"/>
      <c r="S48" s="618"/>
      <c r="T48" s="618"/>
      <c r="U48" s="618"/>
      <c r="V48" s="618"/>
      <c r="W48" s="618"/>
      <c r="X48" s="198"/>
      <c r="Y48" s="81" t="s">
        <v>962</v>
      </c>
      <c r="Z48" s="81" t="s">
        <v>747</v>
      </c>
      <c r="AD48" s="12"/>
      <c r="AE48" s="12"/>
    </row>
    <row r="49" spans="2:31" ht="15.75" hidden="1" customHeight="1" x14ac:dyDescent="0.3">
      <c r="B49" s="906"/>
      <c r="C49" s="906"/>
      <c r="D49" s="906"/>
      <c r="E49" s="906"/>
      <c r="F49" s="906"/>
      <c r="G49" s="906"/>
      <c r="H49" s="906"/>
      <c r="I49" s="906"/>
      <c r="J49" s="906"/>
      <c r="K49" s="906"/>
      <c r="L49" s="906"/>
      <c r="M49" s="906"/>
      <c r="N49" s="906"/>
      <c r="O49" s="906"/>
      <c r="P49" s="906"/>
      <c r="Q49" s="906"/>
      <c r="R49" s="906"/>
      <c r="S49" s="618"/>
      <c r="T49" s="618"/>
      <c r="U49" s="618"/>
      <c r="V49" s="618"/>
      <c r="W49" s="618"/>
      <c r="X49" s="198"/>
      <c r="Y49" s="27"/>
      <c r="Z49" s="27"/>
      <c r="AD49" s="12"/>
      <c r="AE49" s="12"/>
    </row>
    <row r="50" spans="2:31" hidden="1" x14ac:dyDescent="0.3">
      <c r="D50" s="82" t="str">
        <f>IF(Language=English,Y50,Z50)</f>
        <v>MMR</v>
      </c>
      <c r="E50" s="380" t="e">
        <f>VLOOKUP(Country, 'MMR 2017_WHO'!$A$2:$C$184, 2, FALSE)</f>
        <v>#N/A</v>
      </c>
      <c r="Y50" s="75" t="s">
        <v>420</v>
      </c>
      <c r="Z50" s="75" t="s">
        <v>421</v>
      </c>
    </row>
    <row r="51" spans="2:31" hidden="1" x14ac:dyDescent="0.3">
      <c r="D51" s="83" t="str">
        <f>IF(Language=English,Y51,Z51)</f>
        <v>Maternal deaths per 100,000 live births</v>
      </c>
      <c r="E51" s="8"/>
      <c r="F51" s="8"/>
      <c r="Y51" s="84" t="s">
        <v>422</v>
      </c>
      <c r="Z51" s="84" t="s">
        <v>423</v>
      </c>
    </row>
    <row r="52" spans="2:31" hidden="1" x14ac:dyDescent="0.3">
      <c r="C52" s="8"/>
      <c r="D52" s="79"/>
      <c r="F52" s="80"/>
      <c r="G52" s="16"/>
      <c r="Y52" s="27"/>
      <c r="Z52" s="27"/>
      <c r="AD52" s="12"/>
      <c r="AE52" s="12"/>
    </row>
    <row r="53" spans="2:31" ht="33" hidden="1" customHeight="1" x14ac:dyDescent="0.3">
      <c r="C53" s="8"/>
      <c r="D53" s="43" t="str">
        <f>IF(Language="English", Y53, Z53)</f>
        <v>Source (if changed default):</v>
      </c>
      <c r="E53" s="911"/>
      <c r="F53" s="911"/>
      <c r="G53" s="16"/>
      <c r="Y53" s="27" t="s">
        <v>121</v>
      </c>
      <c r="Z53" s="27" t="s">
        <v>142</v>
      </c>
      <c r="AD53" s="12"/>
      <c r="AE53" s="12"/>
    </row>
    <row r="54" spans="2:31" ht="4.5" hidden="1" customHeight="1" x14ac:dyDescent="0.3">
      <c r="C54" s="8"/>
      <c r="F54" s="80"/>
      <c r="G54" s="16"/>
      <c r="Y54" s="27"/>
      <c r="Z54" s="27"/>
      <c r="AD54" s="12"/>
      <c r="AE54" s="12"/>
    </row>
    <row r="55" spans="2:31" ht="15.75" hidden="1" customHeight="1" x14ac:dyDescent="0.3">
      <c r="C55" s="8"/>
      <c r="D55" s="16" t="str">
        <f>IF(Language="english", $Y55, $Z55)</f>
        <v>*Trends in Maternal Mortality: 1990 to 2017; WHO, UNICEF, UNFPA, World Bank Group and the United Nations Population Division, 2019</v>
      </c>
      <c r="F55" s="80"/>
      <c r="G55" s="16"/>
      <c r="Y55" s="85" t="s">
        <v>963</v>
      </c>
      <c r="Z55" s="86" t="s">
        <v>964</v>
      </c>
      <c r="AD55" s="12"/>
      <c r="AE55" s="12"/>
    </row>
    <row r="56" spans="2:31" ht="18" hidden="1" customHeight="1" thickBot="1" x14ac:dyDescent="0.35">
      <c r="C56" s="8"/>
      <c r="D56" s="87"/>
      <c r="F56" s="80"/>
      <c r="G56" s="16"/>
      <c r="Y56" s="27"/>
      <c r="Z56" s="27"/>
      <c r="AD56" s="12"/>
      <c r="AE56" s="12"/>
    </row>
    <row r="57" spans="2:31" ht="32.25" customHeight="1" thickBot="1" x14ac:dyDescent="0.35">
      <c r="B57" s="362" t="str">
        <f>IF(Language=English,Y57, Z57)</f>
        <v>7: Review/update method prevalence among women 15-49 from most recent survey</v>
      </c>
      <c r="C57" s="57"/>
      <c r="D57" s="57"/>
      <c r="E57" s="57"/>
      <c r="F57" s="57"/>
      <c r="G57" s="363"/>
      <c r="H57" s="363"/>
      <c r="I57" s="363"/>
      <c r="J57" s="363"/>
      <c r="K57" s="363"/>
      <c r="L57" s="363"/>
      <c r="M57" s="363"/>
      <c r="N57" s="363"/>
      <c r="O57" s="363"/>
      <c r="P57" s="363"/>
      <c r="Q57" s="363"/>
      <c r="R57" s="363"/>
      <c r="S57" s="363"/>
      <c r="T57" s="363"/>
      <c r="U57" s="363"/>
      <c r="V57" s="363"/>
      <c r="W57" s="363"/>
      <c r="X57" s="364"/>
      <c r="Y57" s="36" t="s">
        <v>908</v>
      </c>
      <c r="Z57" s="36" t="s">
        <v>909</v>
      </c>
    </row>
    <row r="58" spans="2:31" ht="15.6" x14ac:dyDescent="0.3">
      <c r="B58" s="185" t="str">
        <f>IF(Language="english", Y58, Z58)</f>
        <v xml:space="preserve">This is converted into modern method mix. </v>
      </c>
      <c r="H58" s="47"/>
      <c r="Y58" s="619" t="s">
        <v>1263</v>
      </c>
      <c r="Z58" s="619" t="s">
        <v>1264</v>
      </c>
    </row>
    <row r="59" spans="2:31" x14ac:dyDescent="0.3">
      <c r="B59" s="116" t="str">
        <f>IF(Language="english", $Y59, $Z59)</f>
        <v>Enter the method prevalence from your latest survey. If All-Women method prevalence is available please use.</v>
      </c>
      <c r="Y59" s="17" t="s">
        <v>603</v>
      </c>
      <c r="Z59" s="17" t="s">
        <v>149</v>
      </c>
    </row>
    <row r="60" spans="2:31" x14ac:dyDescent="0.3">
      <c r="C60" s="16"/>
      <c r="Y60" s="9"/>
      <c r="Z60" s="9"/>
    </row>
    <row r="61" spans="2:31" ht="33" customHeight="1" x14ac:dyDescent="0.3">
      <c r="D61" s="435" t="str">
        <f>IF(Language=English,Y61, Z61)</f>
        <v>Population (All Women or Married Women)</v>
      </c>
      <c r="E61" s="912" t="e">
        <f>IF(Language="English", VLOOKUP(Country, 'Modern Method Mix 2020 Update'!$B$4:$D$75, 2, FALSE), VLOOKUP(Country, 'Modern Method Mix 2020 Update'!$B$4:$D$75, 3, FALSE))</f>
        <v>#N/A</v>
      </c>
      <c r="F61" s="912"/>
      <c r="G61" s="914" t="str">
        <f>IF(Language="english", $Y63, $Z63)</f>
        <v>If all-women method prevalence is available please use</v>
      </c>
      <c r="H61" s="915"/>
      <c r="I61" s="915"/>
      <c r="J61" s="821"/>
      <c r="K61" s="821"/>
      <c r="L61" s="821"/>
      <c r="M61" s="821"/>
      <c r="N61" s="821"/>
      <c r="O61" s="821"/>
      <c r="P61" s="821"/>
      <c r="Q61" s="821"/>
      <c r="R61" s="821"/>
      <c r="S61" s="821"/>
      <c r="T61" s="821"/>
      <c r="U61" s="821"/>
      <c r="V61" s="821"/>
      <c r="W61" s="821"/>
      <c r="X61" s="821"/>
      <c r="Y61" s="18" t="s">
        <v>150</v>
      </c>
      <c r="Z61" s="619" t="s">
        <v>602</v>
      </c>
    </row>
    <row r="62" spans="2:31" x14ac:dyDescent="0.3">
      <c r="D62" s="42" t="str">
        <f>IF(Language=English,Y62, Z62)</f>
        <v>Year of survey</v>
      </c>
      <c r="E62" s="911" t="e">
        <f>VLOOKUP(Country,'Modern Method Mix 2020 Update'!$B$3:$F$75, 5, FALSE)</f>
        <v>#N/A</v>
      </c>
      <c r="F62" s="911"/>
      <c r="G62" s="16"/>
      <c r="Y62" s="619" t="s">
        <v>118</v>
      </c>
      <c r="Z62" s="619" t="s">
        <v>137</v>
      </c>
    </row>
    <row r="63" spans="2:31" x14ac:dyDescent="0.3">
      <c r="Y63" s="17" t="s">
        <v>151</v>
      </c>
      <c r="Z63" s="17" t="s">
        <v>152</v>
      </c>
    </row>
    <row r="64" spans="2:31" x14ac:dyDescent="0.3">
      <c r="D64" s="12" t="str">
        <f t="shared" ref="D64:D78" si="2">IF(Language=English,Y64, Z64)</f>
        <v>Method</v>
      </c>
      <c r="E64" s="18" t="str">
        <f>IF(Language="english",Y79,Z79)</f>
        <v>mCPR by method</v>
      </c>
      <c r="Y64" s="37" t="s">
        <v>6</v>
      </c>
      <c r="Z64" s="37" t="s">
        <v>20</v>
      </c>
      <c r="AA64" s="18"/>
    </row>
    <row r="65" spans="4:26" x14ac:dyDescent="0.3">
      <c r="D65" s="20" t="str">
        <f t="shared" si="2"/>
        <v>Female sterilization</v>
      </c>
      <c r="E65" s="808" t="e">
        <f>VLOOKUP(Country, 'Modern Method Mix 2020 Update'!$B$4:$W$75, MATCH('Assumption Review'!$Y65, 'Modern Method Mix 2020 Update'!$B$3:$W$3,0), FALSE)</f>
        <v>#N/A</v>
      </c>
      <c r="Y65" s="38" t="s">
        <v>0</v>
      </c>
      <c r="Z65" s="619" t="s">
        <v>15</v>
      </c>
    </row>
    <row r="66" spans="4:26" x14ac:dyDescent="0.3">
      <c r="D66" s="20" t="str">
        <f t="shared" si="2"/>
        <v>Male sterilization</v>
      </c>
      <c r="E66" s="808" t="e">
        <f>VLOOKUP(Country, 'Modern Method Mix 2020 Update'!$B$4:$W$75, MATCH('Assumption Review'!$Y66, 'Modern Method Mix 2020 Update'!$B$3:$W$3,0), FALSE)</f>
        <v>#N/A</v>
      </c>
      <c r="Y66" s="38" t="s">
        <v>1</v>
      </c>
      <c r="Z66" s="619" t="s">
        <v>19</v>
      </c>
    </row>
    <row r="67" spans="4:26" x14ac:dyDescent="0.3">
      <c r="D67" s="20" t="str">
        <f>IF(Language=English,Y67, Z67)</f>
        <v>IUD</v>
      </c>
      <c r="E67" s="808" t="e">
        <f>VLOOKUP(Country, 'Modern Method Mix 2020 Update'!$B$4:$W$75, MATCH('Assumption Review'!$Y67, 'Modern Method Mix 2020 Update'!$B$3:$W$3,0), FALSE)</f>
        <v>#N/A</v>
      </c>
      <c r="Y67" s="38" t="s">
        <v>3</v>
      </c>
      <c r="Z67" s="619" t="s">
        <v>17</v>
      </c>
    </row>
    <row r="68" spans="4:26" x14ac:dyDescent="0.3">
      <c r="D68" s="20" t="str">
        <f t="shared" si="2"/>
        <v>Implants</v>
      </c>
      <c r="E68" s="808" t="e">
        <f>VLOOKUP(Country, 'Modern Method Mix 2020 Update'!$B$4:$W$75, MATCH('Assumption Review'!$Y68, 'Modern Method Mix 2020 Update'!$B$3:$W$3,0), FALSE)</f>
        <v>#N/A</v>
      </c>
      <c r="Y68" s="38" t="s">
        <v>5</v>
      </c>
      <c r="Z68" s="38" t="s">
        <v>5</v>
      </c>
    </row>
    <row r="69" spans="4:26" x14ac:dyDescent="0.3">
      <c r="D69" s="20" t="str">
        <f t="shared" si="2"/>
        <v>Injections</v>
      </c>
      <c r="E69" s="808" t="e">
        <f>VLOOKUP(Country, 'Modern Method Mix 2020 Update'!$B$4:$W$75, MATCH('Assumption Review'!$Y69, 'Modern Method Mix 2020 Update'!$B$3:$W$3,0), FALSE)</f>
        <v>#N/A</v>
      </c>
      <c r="Y69" s="38" t="s">
        <v>4</v>
      </c>
      <c r="Z69" s="619" t="s">
        <v>16</v>
      </c>
    </row>
    <row r="70" spans="4:26" x14ac:dyDescent="0.3">
      <c r="D70" s="20" t="str">
        <f t="shared" si="2"/>
        <v>Pill</v>
      </c>
      <c r="E70" s="808" t="e">
        <f>VLOOKUP(Country, 'Modern Method Mix 2020 Update'!$B$4:$W$75, MATCH('Assumption Review'!$Y70, 'Modern Method Mix 2020 Update'!$B$3:$W$3,0), FALSE)</f>
        <v>#N/A</v>
      </c>
      <c r="Y70" s="38" t="s">
        <v>2</v>
      </c>
      <c r="Z70" s="619" t="s">
        <v>18</v>
      </c>
    </row>
    <row r="71" spans="4:26" x14ac:dyDescent="0.3">
      <c r="D71" s="20" t="str">
        <f t="shared" si="2"/>
        <v>Male Condom</v>
      </c>
      <c r="E71" s="808" t="e">
        <f>VLOOKUP(Country, 'Modern Method Mix 2020 Update'!$B$4:$W$75, MATCH('Assumption Review'!$Y71, 'Modern Method Mix 2020 Update'!$B$3:$W$3,0), FALSE)</f>
        <v>#N/A</v>
      </c>
      <c r="Y71" s="38" t="s">
        <v>651</v>
      </c>
      <c r="Z71" s="619" t="s">
        <v>659</v>
      </c>
    </row>
    <row r="72" spans="4:26" x14ac:dyDescent="0.3">
      <c r="D72" s="20" t="str">
        <f t="shared" si="2"/>
        <v>Female Condom</v>
      </c>
      <c r="E72" s="808" t="e">
        <f>VLOOKUP(Country, 'Modern Method Mix 2020 Update'!$B$4:$W$75, MATCH('Assumption Review'!$Y72, 'Modern Method Mix 2020 Update'!$B$3:$W$3,0), FALSE)</f>
        <v>#N/A</v>
      </c>
      <c r="Y72" s="38" t="s">
        <v>652</v>
      </c>
      <c r="Z72" s="619" t="s">
        <v>720</v>
      </c>
    </row>
    <row r="73" spans="4:26" x14ac:dyDescent="0.3">
      <c r="D73" s="20" t="str">
        <f t="shared" si="2"/>
        <v>LAM</v>
      </c>
      <c r="E73" s="808" t="e">
        <f>VLOOKUP(Country, 'Modern Method Mix 2020 Update'!$B$4:$W$75, MATCH('Assumption Review'!$Y73, 'Modern Method Mix 2020 Update'!$B$3:$W$3,0), FALSE)</f>
        <v>#N/A</v>
      </c>
      <c r="Y73" s="38" t="s">
        <v>11</v>
      </c>
      <c r="Z73" s="38" t="s">
        <v>22</v>
      </c>
    </row>
    <row r="74" spans="4:26" x14ac:dyDescent="0.3">
      <c r="D74" s="20" t="str">
        <f t="shared" si="2"/>
        <v>Standard Days Method</v>
      </c>
      <c r="E74" s="808" t="e">
        <f>VLOOKUP(Country, 'Modern Method Mix 2020 Update'!$B$4:$W$75, MATCH('Assumption Review'!$Y74, 'Modern Method Mix 2020 Update'!$B$3:$W$3,0), FALSE)</f>
        <v>#N/A</v>
      </c>
      <c r="Y74" s="38" t="s">
        <v>96</v>
      </c>
      <c r="Z74" s="38" t="s">
        <v>99</v>
      </c>
    </row>
    <row r="75" spans="4:26" x14ac:dyDescent="0.3">
      <c r="D75" s="20" t="str">
        <f t="shared" si="2"/>
        <v>Other modern methods</v>
      </c>
      <c r="E75" s="808" t="e">
        <f>VLOOKUP(Country, 'Modern Method Mix 2020 Update'!$B$4:$W$75, MATCH('Assumption Review'!$Y75, 'Modern Method Mix 2020 Update'!$B$3:$W$3,0), FALSE)</f>
        <v>#N/A</v>
      </c>
      <c r="Y75" s="38" t="s">
        <v>112</v>
      </c>
      <c r="Z75" s="39" t="s">
        <v>111</v>
      </c>
    </row>
    <row r="76" spans="4:26" x14ac:dyDescent="0.3">
      <c r="D76" s="381" t="str">
        <f t="shared" si="2"/>
        <v>Total mCPR</v>
      </c>
      <c r="E76" s="820" t="e">
        <f>SUM(E65:E75)</f>
        <v>#N/A</v>
      </c>
      <c r="F76" s="17" t="str">
        <f>IF(Language="english", $Y77, $Z77)</f>
        <v>(this should add up to your mCPR, not 100%)</v>
      </c>
      <c r="Y76" s="40" t="s">
        <v>717</v>
      </c>
      <c r="Z76" s="40" t="s">
        <v>944</v>
      </c>
    </row>
    <row r="77" spans="4:26" x14ac:dyDescent="0.3">
      <c r="Y77" s="17" t="s">
        <v>148</v>
      </c>
      <c r="Z77" s="17" t="s">
        <v>138</v>
      </c>
    </row>
    <row r="78" spans="4:26" x14ac:dyDescent="0.3">
      <c r="D78" s="19" t="str">
        <f t="shared" si="2"/>
        <v>Source:</v>
      </c>
      <c r="E78" s="908" t="e">
        <f>VLOOKUP(Country,'Modern Method Mix 2020 Update'!$B$3:$E$75, 4, FALSE)</f>
        <v>#N/A</v>
      </c>
      <c r="F78" s="909"/>
      <c r="G78" s="909"/>
      <c r="H78" s="910"/>
      <c r="Y78" s="41" t="s">
        <v>120</v>
      </c>
      <c r="Z78" s="619" t="s">
        <v>139</v>
      </c>
    </row>
    <row r="79" spans="4:26" hidden="1" x14ac:dyDescent="0.3">
      <c r="K79" s="53"/>
      <c r="Y79" s="18" t="s">
        <v>119</v>
      </c>
      <c r="Z79" s="18" t="s">
        <v>140</v>
      </c>
    </row>
    <row r="80" spans="4:26" hidden="1" x14ac:dyDescent="0.3">
      <c r="Y80" s="38" t="s">
        <v>2</v>
      </c>
      <c r="Z80" s="619" t="s">
        <v>18</v>
      </c>
    </row>
    <row r="81" spans="2:31" ht="15" thickBot="1" x14ac:dyDescent="0.35">
      <c r="L81" s="53"/>
      <c r="M81" s="53"/>
      <c r="N81" s="53"/>
      <c r="O81" s="53"/>
      <c r="P81" s="53"/>
      <c r="Q81" s="53"/>
      <c r="Y81" s="619" t="s">
        <v>129</v>
      </c>
      <c r="Z81" s="619" t="s">
        <v>141</v>
      </c>
    </row>
    <row r="82" spans="2:31" ht="32.25" customHeight="1" thickBot="1" x14ac:dyDescent="0.35">
      <c r="B82" s="362" t="str">
        <f>IF(Language=English,Y82, Z82)</f>
        <v>8: Review method mix for mCPR</v>
      </c>
      <c r="C82" s="57"/>
      <c r="D82" s="57"/>
      <c r="E82" s="57"/>
      <c r="F82" s="57"/>
      <c r="G82" s="363"/>
      <c r="H82" s="363"/>
      <c r="I82" s="363"/>
      <c r="J82" s="363"/>
      <c r="K82" s="363"/>
      <c r="L82" s="363"/>
      <c r="M82" s="363"/>
      <c r="N82" s="363"/>
      <c r="O82" s="363"/>
      <c r="P82" s="363"/>
      <c r="Q82" s="363"/>
      <c r="R82" s="363"/>
      <c r="S82" s="363"/>
      <c r="T82" s="363"/>
      <c r="U82" s="363"/>
      <c r="V82" s="363"/>
      <c r="W82" s="363"/>
      <c r="X82" s="364"/>
      <c r="Y82" s="36" t="s">
        <v>910</v>
      </c>
      <c r="Z82" s="36" t="s">
        <v>911</v>
      </c>
    </row>
    <row r="83" spans="2:31" ht="21.75" customHeight="1" x14ac:dyDescent="0.3">
      <c r="B83" s="185" t="str">
        <f>IF(Language=English,Y83, Z83)</f>
        <v>This is used to calculate users by method to determine pregnancies averted</v>
      </c>
      <c r="C83" s="49"/>
      <c r="D83" s="49"/>
      <c r="E83" s="49"/>
      <c r="F83" s="49"/>
      <c r="G83" s="49"/>
      <c r="H83" s="49"/>
      <c r="I83" s="49"/>
      <c r="J83" s="49"/>
      <c r="K83" s="49"/>
      <c r="L83" s="49"/>
      <c r="M83" s="49"/>
      <c r="N83" s="49"/>
      <c r="O83" s="49"/>
      <c r="P83" s="49"/>
      <c r="Q83" s="49"/>
      <c r="R83" s="49"/>
      <c r="S83" s="49"/>
      <c r="T83" s="49"/>
      <c r="U83" s="49"/>
      <c r="V83" s="49"/>
      <c r="W83" s="49"/>
      <c r="X83" s="49"/>
      <c r="Y83" s="27" t="s">
        <v>441</v>
      </c>
      <c r="Z83" s="27" t="s">
        <v>947</v>
      </c>
      <c r="AD83" s="12"/>
      <c r="AE83" s="12"/>
    </row>
    <row r="84" spans="2:31" x14ac:dyDescent="0.3">
      <c r="C84" s="47" t="str">
        <f>IF(Language="english", $Y84, $Z84)</f>
        <v>This must be for all women.    This is the method mix (e.g. total sums to 100%), not prevalence by method.</v>
      </c>
      <c r="D84" s="87"/>
      <c r="F84" s="80"/>
      <c r="G84" s="16"/>
      <c r="Y84" s="88" t="s">
        <v>424</v>
      </c>
      <c r="Z84" s="88" t="s">
        <v>425</v>
      </c>
      <c r="AD84" s="12"/>
      <c r="AE84" s="12"/>
    </row>
    <row r="85" spans="2:31" x14ac:dyDescent="0.3">
      <c r="C85" s="15" t="str">
        <f>IF(Language="english", $Y85, $Z85)</f>
        <v>1) If your latest survey only has married women, please use an older survey with all women.</v>
      </c>
      <c r="F85" s="80"/>
      <c r="G85" s="16"/>
      <c r="Y85" s="81" t="s">
        <v>426</v>
      </c>
      <c r="Z85" s="81" t="s">
        <v>427</v>
      </c>
      <c r="AD85" s="12"/>
      <c r="AE85" s="12"/>
    </row>
    <row r="86" spans="2:31" x14ac:dyDescent="0.3">
      <c r="C86" s="15" t="str">
        <f>IF(Language="english", $Y86, $Z86)</f>
        <v>2) If you have never had an all women survey in your country, you can use a married women method mix.</v>
      </c>
      <c r="F86" s="80"/>
      <c r="G86" s="16"/>
      <c r="Y86" s="81" t="s">
        <v>428</v>
      </c>
      <c r="Z86" s="81" t="s">
        <v>429</v>
      </c>
      <c r="AD86" s="12"/>
      <c r="AE86" s="12"/>
    </row>
    <row r="87" spans="2:31" x14ac:dyDescent="0.3">
      <c r="C87" s="89"/>
      <c r="D87" s="90" t="str">
        <f>IF(Language="english", $Y87, $Z87)</f>
        <v xml:space="preserve">  Please note this:</v>
      </c>
      <c r="E87" s="913"/>
      <c r="F87" s="913"/>
      <c r="G87" s="913"/>
      <c r="Y87" s="9" t="s">
        <v>430</v>
      </c>
      <c r="Z87" s="9" t="s">
        <v>431</v>
      </c>
      <c r="AD87" s="12"/>
      <c r="AE87" s="12"/>
    </row>
    <row r="88" spans="2:31" x14ac:dyDescent="0.3">
      <c r="C88" s="15" t="str">
        <f>IF(Language="english", $Y88, $Z88)</f>
        <v xml:space="preserve">3) If you used all-women method prevalence for Indicator 9, you can copy and paste the method mix here.  </v>
      </c>
      <c r="D88" s="87"/>
      <c r="F88" s="80"/>
      <c r="G88" s="16"/>
      <c r="Y88" s="81" t="s">
        <v>501</v>
      </c>
      <c r="Z88" s="81" t="s">
        <v>432</v>
      </c>
      <c r="AD88" s="12"/>
      <c r="AE88" s="12"/>
    </row>
    <row r="89" spans="2:31" ht="38.25" customHeight="1" x14ac:dyDescent="0.3">
      <c r="C89" s="902" t="str">
        <f>IF(Language="english", $Y89, $Z89)</f>
        <v>If you have multiple surveys over the time period you can change the method mix in different years, otherwise, you can use the same mix for all years.</v>
      </c>
      <c r="D89" s="902"/>
      <c r="E89" s="902"/>
      <c r="F89" s="902"/>
      <c r="G89" s="902"/>
      <c r="H89" s="902"/>
      <c r="I89" s="902"/>
      <c r="J89" s="902"/>
      <c r="K89" s="902"/>
      <c r="L89" s="902"/>
      <c r="M89" s="902"/>
      <c r="N89" s="902"/>
      <c r="O89" s="902"/>
      <c r="P89" s="902"/>
      <c r="Q89" s="902"/>
      <c r="R89" s="902"/>
      <c r="S89" s="902"/>
      <c r="T89" s="902"/>
      <c r="U89" s="902"/>
      <c r="V89" s="902"/>
      <c r="W89" s="902"/>
      <c r="X89" s="902"/>
      <c r="Y89" s="88" t="s">
        <v>433</v>
      </c>
      <c r="Z89" s="88" t="s">
        <v>434</v>
      </c>
      <c r="AD89" s="12"/>
      <c r="AE89" s="12"/>
    </row>
    <row r="90" spans="2:31" hidden="1" x14ac:dyDescent="0.3">
      <c r="C90" s="16" t="str">
        <f>IF(Language="english", $Y90, $Z90)</f>
        <v>Please enter %s as whole numbers-- e.g. 10% should be entered as 10.0</v>
      </c>
      <c r="D90" s="87"/>
      <c r="F90" s="80"/>
      <c r="G90" s="16"/>
      <c r="Y90" s="88" t="s">
        <v>435</v>
      </c>
      <c r="Z90" s="91" t="s">
        <v>436</v>
      </c>
      <c r="AD90" s="12"/>
      <c r="AE90" s="12"/>
    </row>
    <row r="91" spans="2:31" x14ac:dyDescent="0.3">
      <c r="C91" s="8"/>
      <c r="D91" s="87"/>
      <c r="F91" s="80"/>
      <c r="G91" s="16"/>
      <c r="Y91" s="27"/>
      <c r="Z91" s="27"/>
      <c r="AD91" s="12"/>
      <c r="AE91" s="12"/>
    </row>
    <row r="92" spans="2:31" s="60" customFormat="1" x14ac:dyDescent="0.3">
      <c r="E92" s="557">
        <v>2012</v>
      </c>
      <c r="F92" s="557">
        <v>2013</v>
      </c>
      <c r="G92" s="557">
        <v>2014</v>
      </c>
      <c r="H92" s="557">
        <v>2015</v>
      </c>
      <c r="I92" s="557">
        <v>2016</v>
      </c>
      <c r="J92" s="557">
        <v>2017</v>
      </c>
      <c r="K92" s="557">
        <v>2018</v>
      </c>
      <c r="L92" s="557">
        <v>2019</v>
      </c>
      <c r="M92" s="557">
        <v>2020</v>
      </c>
      <c r="N92" s="557">
        <v>2021</v>
      </c>
      <c r="O92" s="557">
        <v>2022</v>
      </c>
      <c r="P92" s="557">
        <v>2023</v>
      </c>
      <c r="Q92" s="557">
        <v>2024</v>
      </c>
      <c r="R92" s="557">
        <v>2025</v>
      </c>
      <c r="S92" s="557">
        <v>2026</v>
      </c>
      <c r="T92" s="557">
        <v>2027</v>
      </c>
      <c r="U92" s="557">
        <v>2028</v>
      </c>
      <c r="V92" s="557">
        <v>2029</v>
      </c>
      <c r="W92" s="557">
        <v>2030</v>
      </c>
    </row>
    <row r="93" spans="2:31" x14ac:dyDescent="0.3">
      <c r="D93" s="20" t="str">
        <f t="shared" ref="D93:D100" si="3">IF(Language=English,Y93,Z93)</f>
        <v>Female sterilization</v>
      </c>
      <c r="E93" s="382" t="e">
        <f t="shared" ref="E93:W93" si="4">($E65/$E$76)</f>
        <v>#N/A</v>
      </c>
      <c r="F93" s="382" t="e">
        <f t="shared" si="4"/>
        <v>#N/A</v>
      </c>
      <c r="G93" s="382" t="e">
        <f t="shared" si="4"/>
        <v>#N/A</v>
      </c>
      <c r="H93" s="382" t="e">
        <f t="shared" si="4"/>
        <v>#N/A</v>
      </c>
      <c r="I93" s="382" t="e">
        <f t="shared" si="4"/>
        <v>#N/A</v>
      </c>
      <c r="J93" s="382" t="e">
        <f t="shared" si="4"/>
        <v>#N/A</v>
      </c>
      <c r="K93" s="382" t="e">
        <f t="shared" si="4"/>
        <v>#N/A</v>
      </c>
      <c r="L93" s="382" t="e">
        <f t="shared" si="4"/>
        <v>#N/A</v>
      </c>
      <c r="M93" s="382" t="e">
        <f t="shared" si="4"/>
        <v>#N/A</v>
      </c>
      <c r="N93" s="382" t="e">
        <f t="shared" si="4"/>
        <v>#N/A</v>
      </c>
      <c r="O93" s="382" t="e">
        <f t="shared" si="4"/>
        <v>#N/A</v>
      </c>
      <c r="P93" s="382" t="e">
        <f t="shared" si="4"/>
        <v>#N/A</v>
      </c>
      <c r="Q93" s="382" t="e">
        <f t="shared" si="4"/>
        <v>#N/A</v>
      </c>
      <c r="R93" s="382" t="e">
        <f t="shared" si="4"/>
        <v>#N/A</v>
      </c>
      <c r="S93" s="382" t="e">
        <f t="shared" si="4"/>
        <v>#N/A</v>
      </c>
      <c r="T93" s="382" t="e">
        <f t="shared" si="4"/>
        <v>#N/A</v>
      </c>
      <c r="U93" s="382" t="e">
        <f t="shared" si="4"/>
        <v>#N/A</v>
      </c>
      <c r="V93" s="382" t="e">
        <f t="shared" si="4"/>
        <v>#N/A</v>
      </c>
      <c r="W93" s="382" t="e">
        <f t="shared" si="4"/>
        <v>#N/A</v>
      </c>
      <c r="Y93" s="92" t="s">
        <v>0</v>
      </c>
      <c r="Z93" s="92" t="s">
        <v>15</v>
      </c>
    </row>
    <row r="94" spans="2:31" x14ac:dyDescent="0.3">
      <c r="D94" s="20" t="str">
        <f t="shared" si="3"/>
        <v>Male sterilization</v>
      </c>
      <c r="E94" s="382" t="e">
        <f t="shared" ref="E94:W94" si="5">($E66/$E$76)</f>
        <v>#N/A</v>
      </c>
      <c r="F94" s="382" t="e">
        <f t="shared" si="5"/>
        <v>#N/A</v>
      </c>
      <c r="G94" s="382" t="e">
        <f t="shared" si="5"/>
        <v>#N/A</v>
      </c>
      <c r="H94" s="382" t="e">
        <f t="shared" si="5"/>
        <v>#N/A</v>
      </c>
      <c r="I94" s="382" t="e">
        <f t="shared" si="5"/>
        <v>#N/A</v>
      </c>
      <c r="J94" s="382" t="e">
        <f t="shared" si="5"/>
        <v>#N/A</v>
      </c>
      <c r="K94" s="382" t="e">
        <f t="shared" si="5"/>
        <v>#N/A</v>
      </c>
      <c r="L94" s="382" t="e">
        <f t="shared" si="5"/>
        <v>#N/A</v>
      </c>
      <c r="M94" s="382" t="e">
        <f t="shared" si="5"/>
        <v>#N/A</v>
      </c>
      <c r="N94" s="382" t="e">
        <f t="shared" si="5"/>
        <v>#N/A</v>
      </c>
      <c r="O94" s="382" t="e">
        <f t="shared" si="5"/>
        <v>#N/A</v>
      </c>
      <c r="P94" s="382" t="e">
        <f t="shared" si="5"/>
        <v>#N/A</v>
      </c>
      <c r="Q94" s="382" t="e">
        <f t="shared" si="5"/>
        <v>#N/A</v>
      </c>
      <c r="R94" s="382" t="e">
        <f t="shared" si="5"/>
        <v>#N/A</v>
      </c>
      <c r="S94" s="382" t="e">
        <f t="shared" si="5"/>
        <v>#N/A</v>
      </c>
      <c r="T94" s="382" t="e">
        <f t="shared" si="5"/>
        <v>#N/A</v>
      </c>
      <c r="U94" s="382" t="e">
        <f t="shared" si="5"/>
        <v>#N/A</v>
      </c>
      <c r="V94" s="382" t="e">
        <f t="shared" si="5"/>
        <v>#N/A</v>
      </c>
      <c r="W94" s="382" t="e">
        <f t="shared" si="5"/>
        <v>#N/A</v>
      </c>
      <c r="Y94" s="92" t="s">
        <v>1</v>
      </c>
      <c r="Z94" s="92" t="s">
        <v>19</v>
      </c>
    </row>
    <row r="95" spans="2:31" x14ac:dyDescent="0.3">
      <c r="D95" s="20" t="str">
        <f t="shared" si="3"/>
        <v>IUD</v>
      </c>
      <c r="E95" s="382" t="e">
        <f t="shared" ref="E95:W95" si="6">($E67/$E$76)</f>
        <v>#N/A</v>
      </c>
      <c r="F95" s="382" t="e">
        <f t="shared" si="6"/>
        <v>#N/A</v>
      </c>
      <c r="G95" s="382" t="e">
        <f t="shared" si="6"/>
        <v>#N/A</v>
      </c>
      <c r="H95" s="382" t="e">
        <f t="shared" si="6"/>
        <v>#N/A</v>
      </c>
      <c r="I95" s="382" t="e">
        <f t="shared" si="6"/>
        <v>#N/A</v>
      </c>
      <c r="J95" s="382" t="e">
        <f t="shared" si="6"/>
        <v>#N/A</v>
      </c>
      <c r="K95" s="382" t="e">
        <f t="shared" si="6"/>
        <v>#N/A</v>
      </c>
      <c r="L95" s="382" t="e">
        <f t="shared" si="6"/>
        <v>#N/A</v>
      </c>
      <c r="M95" s="382" t="e">
        <f t="shared" si="6"/>
        <v>#N/A</v>
      </c>
      <c r="N95" s="382" t="e">
        <f t="shared" si="6"/>
        <v>#N/A</v>
      </c>
      <c r="O95" s="382" t="e">
        <f t="shared" si="6"/>
        <v>#N/A</v>
      </c>
      <c r="P95" s="382" t="e">
        <f t="shared" si="6"/>
        <v>#N/A</v>
      </c>
      <c r="Q95" s="382" t="e">
        <f t="shared" si="6"/>
        <v>#N/A</v>
      </c>
      <c r="R95" s="382" t="e">
        <f t="shared" si="6"/>
        <v>#N/A</v>
      </c>
      <c r="S95" s="382" t="e">
        <f t="shared" si="6"/>
        <v>#N/A</v>
      </c>
      <c r="T95" s="382" t="e">
        <f t="shared" si="6"/>
        <v>#N/A</v>
      </c>
      <c r="U95" s="382" t="e">
        <f t="shared" si="6"/>
        <v>#N/A</v>
      </c>
      <c r="V95" s="382" t="e">
        <f t="shared" si="6"/>
        <v>#N/A</v>
      </c>
      <c r="W95" s="382" t="e">
        <f t="shared" si="6"/>
        <v>#N/A</v>
      </c>
      <c r="Y95" s="92" t="s">
        <v>3</v>
      </c>
      <c r="Z95" s="92" t="s">
        <v>17</v>
      </c>
    </row>
    <row r="96" spans="2:31" x14ac:dyDescent="0.3">
      <c r="D96" s="20" t="str">
        <f t="shared" si="3"/>
        <v>Implants</v>
      </c>
      <c r="E96" s="382" t="e">
        <f t="shared" ref="E96:W96" si="7">($E68/$E$76)</f>
        <v>#N/A</v>
      </c>
      <c r="F96" s="382" t="e">
        <f t="shared" si="7"/>
        <v>#N/A</v>
      </c>
      <c r="G96" s="382" t="e">
        <f t="shared" si="7"/>
        <v>#N/A</v>
      </c>
      <c r="H96" s="382" t="e">
        <f t="shared" si="7"/>
        <v>#N/A</v>
      </c>
      <c r="I96" s="382" t="e">
        <f t="shared" si="7"/>
        <v>#N/A</v>
      </c>
      <c r="J96" s="382" t="e">
        <f t="shared" si="7"/>
        <v>#N/A</v>
      </c>
      <c r="K96" s="382" t="e">
        <f t="shared" si="7"/>
        <v>#N/A</v>
      </c>
      <c r="L96" s="382" t="e">
        <f t="shared" si="7"/>
        <v>#N/A</v>
      </c>
      <c r="M96" s="382" t="e">
        <f t="shared" si="7"/>
        <v>#N/A</v>
      </c>
      <c r="N96" s="382" t="e">
        <f t="shared" si="7"/>
        <v>#N/A</v>
      </c>
      <c r="O96" s="382" t="e">
        <f t="shared" si="7"/>
        <v>#N/A</v>
      </c>
      <c r="P96" s="382" t="e">
        <f t="shared" si="7"/>
        <v>#N/A</v>
      </c>
      <c r="Q96" s="382" t="e">
        <f t="shared" si="7"/>
        <v>#N/A</v>
      </c>
      <c r="R96" s="382" t="e">
        <f t="shared" si="7"/>
        <v>#N/A</v>
      </c>
      <c r="S96" s="382" t="e">
        <f t="shared" si="7"/>
        <v>#N/A</v>
      </c>
      <c r="T96" s="382" t="e">
        <f t="shared" si="7"/>
        <v>#N/A</v>
      </c>
      <c r="U96" s="382" t="e">
        <f t="shared" si="7"/>
        <v>#N/A</v>
      </c>
      <c r="V96" s="382" t="e">
        <f t="shared" si="7"/>
        <v>#N/A</v>
      </c>
      <c r="W96" s="382" t="e">
        <f t="shared" si="7"/>
        <v>#N/A</v>
      </c>
      <c r="Y96" s="92" t="s">
        <v>5</v>
      </c>
      <c r="Z96" s="92" t="s">
        <v>5</v>
      </c>
    </row>
    <row r="97" spans="2:31" x14ac:dyDescent="0.3">
      <c r="D97" s="20" t="str">
        <f t="shared" si="3"/>
        <v>Injections</v>
      </c>
      <c r="E97" s="382" t="e">
        <f t="shared" ref="E97:W97" si="8">($E69/$E$76)</f>
        <v>#N/A</v>
      </c>
      <c r="F97" s="382" t="e">
        <f t="shared" si="8"/>
        <v>#N/A</v>
      </c>
      <c r="G97" s="382" t="e">
        <f t="shared" si="8"/>
        <v>#N/A</v>
      </c>
      <c r="H97" s="382" t="e">
        <f t="shared" si="8"/>
        <v>#N/A</v>
      </c>
      <c r="I97" s="382" t="e">
        <f t="shared" si="8"/>
        <v>#N/A</v>
      </c>
      <c r="J97" s="382" t="e">
        <f t="shared" si="8"/>
        <v>#N/A</v>
      </c>
      <c r="K97" s="382" t="e">
        <f t="shared" si="8"/>
        <v>#N/A</v>
      </c>
      <c r="L97" s="382" t="e">
        <f t="shared" si="8"/>
        <v>#N/A</v>
      </c>
      <c r="M97" s="382" t="e">
        <f t="shared" si="8"/>
        <v>#N/A</v>
      </c>
      <c r="N97" s="382" t="e">
        <f t="shared" si="8"/>
        <v>#N/A</v>
      </c>
      <c r="O97" s="382" t="e">
        <f t="shared" si="8"/>
        <v>#N/A</v>
      </c>
      <c r="P97" s="382" t="e">
        <f t="shared" si="8"/>
        <v>#N/A</v>
      </c>
      <c r="Q97" s="382" t="e">
        <f t="shared" si="8"/>
        <v>#N/A</v>
      </c>
      <c r="R97" s="382" t="e">
        <f t="shared" si="8"/>
        <v>#N/A</v>
      </c>
      <c r="S97" s="382" t="e">
        <f t="shared" si="8"/>
        <v>#N/A</v>
      </c>
      <c r="T97" s="382" t="e">
        <f t="shared" si="8"/>
        <v>#N/A</v>
      </c>
      <c r="U97" s="382" t="e">
        <f t="shared" si="8"/>
        <v>#N/A</v>
      </c>
      <c r="V97" s="382" t="e">
        <f t="shared" si="8"/>
        <v>#N/A</v>
      </c>
      <c r="W97" s="382" t="e">
        <f t="shared" si="8"/>
        <v>#N/A</v>
      </c>
      <c r="Y97" s="92" t="s">
        <v>4</v>
      </c>
      <c r="Z97" s="92" t="s">
        <v>16</v>
      </c>
    </row>
    <row r="98" spans="2:31" x14ac:dyDescent="0.3">
      <c r="D98" s="20" t="str">
        <f t="shared" si="3"/>
        <v>Pill</v>
      </c>
      <c r="E98" s="382" t="e">
        <f t="shared" ref="E98:W98" si="9">($E70/$E$76)</f>
        <v>#N/A</v>
      </c>
      <c r="F98" s="382" t="e">
        <f t="shared" si="9"/>
        <v>#N/A</v>
      </c>
      <c r="G98" s="382" t="e">
        <f t="shared" si="9"/>
        <v>#N/A</v>
      </c>
      <c r="H98" s="382" t="e">
        <f t="shared" si="9"/>
        <v>#N/A</v>
      </c>
      <c r="I98" s="382" t="e">
        <f t="shared" si="9"/>
        <v>#N/A</v>
      </c>
      <c r="J98" s="382" t="e">
        <f t="shared" si="9"/>
        <v>#N/A</v>
      </c>
      <c r="K98" s="382" t="e">
        <f t="shared" si="9"/>
        <v>#N/A</v>
      </c>
      <c r="L98" s="382" t="e">
        <f t="shared" si="9"/>
        <v>#N/A</v>
      </c>
      <c r="M98" s="382" t="e">
        <f t="shared" si="9"/>
        <v>#N/A</v>
      </c>
      <c r="N98" s="382" t="e">
        <f t="shared" si="9"/>
        <v>#N/A</v>
      </c>
      <c r="O98" s="382" t="e">
        <f t="shared" si="9"/>
        <v>#N/A</v>
      </c>
      <c r="P98" s="382" t="e">
        <f t="shared" si="9"/>
        <v>#N/A</v>
      </c>
      <c r="Q98" s="382" t="e">
        <f t="shared" si="9"/>
        <v>#N/A</v>
      </c>
      <c r="R98" s="382" t="e">
        <f t="shared" si="9"/>
        <v>#N/A</v>
      </c>
      <c r="S98" s="382" t="e">
        <f t="shared" si="9"/>
        <v>#N/A</v>
      </c>
      <c r="T98" s="382" t="e">
        <f t="shared" si="9"/>
        <v>#N/A</v>
      </c>
      <c r="U98" s="382" t="e">
        <f t="shared" si="9"/>
        <v>#N/A</v>
      </c>
      <c r="V98" s="382" t="e">
        <f t="shared" si="9"/>
        <v>#N/A</v>
      </c>
      <c r="W98" s="382" t="e">
        <f t="shared" si="9"/>
        <v>#N/A</v>
      </c>
      <c r="Y98" s="92" t="s">
        <v>2</v>
      </c>
      <c r="Z98" s="92" t="s">
        <v>18</v>
      </c>
    </row>
    <row r="99" spans="2:31" x14ac:dyDescent="0.3">
      <c r="D99" s="20" t="str">
        <f t="shared" si="3"/>
        <v>Male Condom</v>
      </c>
      <c r="E99" s="382" t="e">
        <f t="shared" ref="E99:W99" si="10">($E71/$E$76)</f>
        <v>#N/A</v>
      </c>
      <c r="F99" s="382" t="e">
        <f t="shared" si="10"/>
        <v>#N/A</v>
      </c>
      <c r="G99" s="382" t="e">
        <f t="shared" si="10"/>
        <v>#N/A</v>
      </c>
      <c r="H99" s="382" t="e">
        <f t="shared" si="10"/>
        <v>#N/A</v>
      </c>
      <c r="I99" s="382" t="e">
        <f t="shared" si="10"/>
        <v>#N/A</v>
      </c>
      <c r="J99" s="382" t="e">
        <f t="shared" si="10"/>
        <v>#N/A</v>
      </c>
      <c r="K99" s="382" t="e">
        <f t="shared" si="10"/>
        <v>#N/A</v>
      </c>
      <c r="L99" s="382" t="e">
        <f t="shared" si="10"/>
        <v>#N/A</v>
      </c>
      <c r="M99" s="382" t="e">
        <f t="shared" si="10"/>
        <v>#N/A</v>
      </c>
      <c r="N99" s="382" t="e">
        <f t="shared" si="10"/>
        <v>#N/A</v>
      </c>
      <c r="O99" s="382" t="e">
        <f t="shared" si="10"/>
        <v>#N/A</v>
      </c>
      <c r="P99" s="382" t="e">
        <f t="shared" si="10"/>
        <v>#N/A</v>
      </c>
      <c r="Q99" s="382" t="e">
        <f t="shared" si="10"/>
        <v>#N/A</v>
      </c>
      <c r="R99" s="382" t="e">
        <f t="shared" si="10"/>
        <v>#N/A</v>
      </c>
      <c r="S99" s="382" t="e">
        <f t="shared" si="10"/>
        <v>#N/A</v>
      </c>
      <c r="T99" s="382" t="e">
        <f t="shared" si="10"/>
        <v>#N/A</v>
      </c>
      <c r="U99" s="382" t="e">
        <f t="shared" si="10"/>
        <v>#N/A</v>
      </c>
      <c r="V99" s="382" t="e">
        <f t="shared" si="10"/>
        <v>#N/A</v>
      </c>
      <c r="W99" s="382" t="e">
        <f t="shared" si="10"/>
        <v>#N/A</v>
      </c>
      <c r="Y99" s="92" t="s">
        <v>651</v>
      </c>
      <c r="Z99" s="92" t="s">
        <v>659</v>
      </c>
    </row>
    <row r="100" spans="2:31" x14ac:dyDescent="0.3">
      <c r="C100" s="8"/>
      <c r="D100" s="20" t="str">
        <f t="shared" si="3"/>
        <v>LAM &amp; Other Modern Methods</v>
      </c>
      <c r="E100" s="382" t="e">
        <f t="shared" ref="E100:W100" si="11">(SUM($E$72:$E$75)/$E$76)</f>
        <v>#N/A</v>
      </c>
      <c r="F100" s="382" t="e">
        <f t="shared" si="11"/>
        <v>#N/A</v>
      </c>
      <c r="G100" s="382" t="e">
        <f t="shared" si="11"/>
        <v>#N/A</v>
      </c>
      <c r="H100" s="382" t="e">
        <f t="shared" si="11"/>
        <v>#N/A</v>
      </c>
      <c r="I100" s="382" t="e">
        <f t="shared" si="11"/>
        <v>#N/A</v>
      </c>
      <c r="J100" s="382" t="e">
        <f t="shared" si="11"/>
        <v>#N/A</v>
      </c>
      <c r="K100" s="382" t="e">
        <f t="shared" si="11"/>
        <v>#N/A</v>
      </c>
      <c r="L100" s="382" t="e">
        <f t="shared" si="11"/>
        <v>#N/A</v>
      </c>
      <c r="M100" s="382" t="e">
        <f t="shared" si="11"/>
        <v>#N/A</v>
      </c>
      <c r="N100" s="382" t="e">
        <f t="shared" si="11"/>
        <v>#N/A</v>
      </c>
      <c r="O100" s="382" t="e">
        <f t="shared" si="11"/>
        <v>#N/A</v>
      </c>
      <c r="P100" s="382" t="e">
        <f t="shared" si="11"/>
        <v>#N/A</v>
      </c>
      <c r="Q100" s="382" t="e">
        <f t="shared" si="11"/>
        <v>#N/A</v>
      </c>
      <c r="R100" s="382" t="e">
        <f t="shared" si="11"/>
        <v>#N/A</v>
      </c>
      <c r="S100" s="382" t="e">
        <f t="shared" si="11"/>
        <v>#N/A</v>
      </c>
      <c r="T100" s="382" t="e">
        <f t="shared" si="11"/>
        <v>#N/A</v>
      </c>
      <c r="U100" s="382" t="e">
        <f t="shared" si="11"/>
        <v>#N/A</v>
      </c>
      <c r="V100" s="382" t="e">
        <f t="shared" si="11"/>
        <v>#N/A</v>
      </c>
      <c r="W100" s="382" t="e">
        <f t="shared" si="11"/>
        <v>#N/A</v>
      </c>
      <c r="Y100" s="92" t="s">
        <v>437</v>
      </c>
      <c r="Z100" s="92" t="s">
        <v>438</v>
      </c>
      <c r="AD100" s="12"/>
      <c r="AE100" s="12"/>
    </row>
    <row r="101" spans="2:31" x14ac:dyDescent="0.3">
      <c r="D101" s="77"/>
      <c r="Y101" s="78"/>
      <c r="Z101" s="78"/>
    </row>
    <row r="102" spans="2:31" x14ac:dyDescent="0.3">
      <c r="D102" s="616" t="s">
        <v>7</v>
      </c>
      <c r="E102" s="378" t="e">
        <f>SUM(E93:E100)</f>
        <v>#N/A</v>
      </c>
      <c r="F102" s="378" t="e">
        <f t="shared" ref="F102:M102" si="12">SUM(F93:F100)</f>
        <v>#N/A</v>
      </c>
      <c r="G102" s="378" t="e">
        <f t="shared" si="12"/>
        <v>#N/A</v>
      </c>
      <c r="H102" s="378" t="e">
        <f t="shared" si="12"/>
        <v>#N/A</v>
      </c>
      <c r="I102" s="378" t="e">
        <f t="shared" si="12"/>
        <v>#N/A</v>
      </c>
      <c r="J102" s="378" t="e">
        <f t="shared" si="12"/>
        <v>#N/A</v>
      </c>
      <c r="K102" s="378" t="e">
        <f t="shared" si="12"/>
        <v>#N/A</v>
      </c>
      <c r="L102" s="378" t="e">
        <f t="shared" si="12"/>
        <v>#N/A</v>
      </c>
      <c r="M102" s="378" t="e">
        <f t="shared" si="12"/>
        <v>#N/A</v>
      </c>
      <c r="N102" s="378" t="e">
        <f t="shared" ref="N102:W102" si="13">SUM(N93:N100)</f>
        <v>#N/A</v>
      </c>
      <c r="O102" s="378" t="e">
        <f t="shared" si="13"/>
        <v>#N/A</v>
      </c>
      <c r="P102" s="378" t="e">
        <f t="shared" si="13"/>
        <v>#N/A</v>
      </c>
      <c r="Q102" s="378" t="e">
        <f t="shared" si="13"/>
        <v>#N/A</v>
      </c>
      <c r="R102" s="378" t="e">
        <f t="shared" si="13"/>
        <v>#N/A</v>
      </c>
      <c r="S102" s="378" t="e">
        <f t="shared" si="13"/>
        <v>#N/A</v>
      </c>
      <c r="T102" s="378" t="e">
        <f t="shared" si="13"/>
        <v>#N/A</v>
      </c>
      <c r="U102" s="378" t="e">
        <f t="shared" si="13"/>
        <v>#N/A</v>
      </c>
      <c r="V102" s="378" t="e">
        <f t="shared" si="13"/>
        <v>#N/A</v>
      </c>
      <c r="W102" s="378" t="e">
        <f t="shared" si="13"/>
        <v>#N/A</v>
      </c>
      <c r="Y102" s="92"/>
      <c r="Z102" s="92"/>
    </row>
    <row r="103" spans="2:31" ht="30" customHeight="1" x14ac:dyDescent="0.3">
      <c r="E103" s="93" t="e">
        <f t="shared" ref="E103:K103" si="14">IF(E102=1, "", IF(Language="english", $Y103, $Z103))</f>
        <v>#N/A</v>
      </c>
      <c r="F103" s="93" t="e">
        <f t="shared" si="14"/>
        <v>#N/A</v>
      </c>
      <c r="G103" s="93" t="e">
        <f t="shared" si="14"/>
        <v>#N/A</v>
      </c>
      <c r="H103" s="93" t="e">
        <f t="shared" si="14"/>
        <v>#N/A</v>
      </c>
      <c r="I103" s="93" t="e">
        <f t="shared" si="14"/>
        <v>#N/A</v>
      </c>
      <c r="J103" s="93" t="e">
        <f t="shared" si="14"/>
        <v>#N/A</v>
      </c>
      <c r="K103" s="93" t="e">
        <f t="shared" si="14"/>
        <v>#N/A</v>
      </c>
      <c r="Y103" s="88" t="s">
        <v>439</v>
      </c>
      <c r="Z103" s="88" t="s">
        <v>440</v>
      </c>
    </row>
    <row r="104" spans="2:31" ht="15" thickBot="1" x14ac:dyDescent="0.35"/>
    <row r="105" spans="2:31" ht="32.25" customHeight="1" thickBot="1" x14ac:dyDescent="0.35">
      <c r="B105" s="362" t="str">
        <f>IF(Language=English, Y105, Z105)</f>
        <v>9. Review assumptions used for impact calculations</v>
      </c>
      <c r="C105" s="57"/>
      <c r="D105" s="57"/>
      <c r="E105" s="57"/>
      <c r="F105" s="57"/>
      <c r="G105" s="363"/>
      <c r="H105" s="363"/>
      <c r="I105" s="363"/>
      <c r="J105" s="363"/>
      <c r="K105" s="363"/>
      <c r="L105" s="363"/>
      <c r="M105" s="363"/>
      <c r="N105" s="363"/>
      <c r="O105" s="363"/>
      <c r="P105" s="363"/>
      <c r="Q105" s="363"/>
      <c r="R105" s="363"/>
      <c r="S105" s="363"/>
      <c r="T105" s="363"/>
      <c r="U105" s="363"/>
      <c r="V105" s="363"/>
      <c r="W105" s="363"/>
      <c r="X105" s="364"/>
      <c r="Y105" s="36" t="s">
        <v>912</v>
      </c>
      <c r="Z105" s="36" t="s">
        <v>913</v>
      </c>
    </row>
    <row r="106" spans="2:31" ht="15" thickBot="1" x14ac:dyDescent="0.35"/>
    <row r="107" spans="2:31" ht="45.75" customHeight="1" thickBot="1" x14ac:dyDescent="0.35">
      <c r="B107" s="94"/>
      <c r="C107" s="893" t="str">
        <f t="shared" ref="C107:C115" si="15">IF(Language=English, Y107, Z107)</f>
        <v>Region</v>
      </c>
      <c r="D107" s="894"/>
      <c r="E107" s="617" t="e">
        <f>D9</f>
        <v>#N/A</v>
      </c>
      <c r="F107" s="895" t="s">
        <v>752</v>
      </c>
      <c r="G107" s="896"/>
      <c r="H107" s="896"/>
      <c r="I107" s="896"/>
      <c r="J107" s="896"/>
      <c r="K107" s="896"/>
      <c r="L107" s="896"/>
      <c r="M107" s="897"/>
      <c r="X107" s="95"/>
      <c r="Y107" s="1" t="s">
        <v>235</v>
      </c>
      <c r="Z107" s="9" t="s">
        <v>236</v>
      </c>
    </row>
    <row r="108" spans="2:31" ht="32.25" customHeight="1" x14ac:dyDescent="0.3">
      <c r="B108" s="94"/>
      <c r="C108" s="898" t="str">
        <f t="shared" si="15"/>
        <v>Percentage of unintended pregnancies terminated by abortion</v>
      </c>
      <c r="D108" s="899"/>
      <c r="E108" s="400" t="e">
        <f>VLOOKUP(E107,'Abortion rates'!$A$5:$B$23,2,FALSE)</f>
        <v>#N/A</v>
      </c>
      <c r="F108" s="900" t="str">
        <f>IF(Language=English, AA108, AB108)</f>
        <v>Regional</v>
      </c>
      <c r="G108" s="900"/>
      <c r="H108" s="900"/>
      <c r="I108" s="900"/>
      <c r="J108" s="900"/>
      <c r="K108" s="900"/>
      <c r="L108" s="900"/>
      <c r="M108" s="901"/>
      <c r="X108" s="3"/>
      <c r="Y108" s="1" t="s">
        <v>222</v>
      </c>
      <c r="Z108" s="9" t="s">
        <v>230</v>
      </c>
      <c r="AA108" s="9" t="s">
        <v>442</v>
      </c>
      <c r="AB108" s="9" t="s">
        <v>443</v>
      </c>
    </row>
    <row r="109" spans="2:31" ht="15.6" x14ac:dyDescent="0.3">
      <c r="B109" s="94"/>
      <c r="C109" s="883" t="str">
        <f t="shared" si="15"/>
        <v>Percent of abortions that are unsafe</v>
      </c>
      <c r="D109" s="884"/>
      <c r="E109" s="170" t="e">
        <f>VLOOKUP(E107, 'Abortion rates'!$A$5:$D$23, 4, FALSE)</f>
        <v>#N/A</v>
      </c>
      <c r="F109" s="885" t="str">
        <f>IF(Language=English, AA109, AB109)</f>
        <v>Regional</v>
      </c>
      <c r="G109" s="885"/>
      <c r="H109" s="885"/>
      <c r="I109" s="885"/>
      <c r="J109" s="885"/>
      <c r="K109" s="885"/>
      <c r="L109" s="885"/>
      <c r="M109" s="886"/>
      <c r="O109" s="96"/>
      <c r="P109" s="96"/>
      <c r="Q109" s="96"/>
      <c r="R109" s="3"/>
      <c r="S109" s="3"/>
      <c r="T109" s="3"/>
      <c r="U109" s="3"/>
      <c r="V109" s="3"/>
      <c r="W109" s="3"/>
      <c r="X109" s="96"/>
      <c r="Y109" s="1" t="s">
        <v>444</v>
      </c>
      <c r="Z109" s="9" t="s">
        <v>232</v>
      </c>
      <c r="AA109" s="9" t="s">
        <v>442</v>
      </c>
      <c r="AB109" s="9" t="s">
        <v>443</v>
      </c>
    </row>
    <row r="110" spans="2:31" ht="15.6" x14ac:dyDescent="0.3">
      <c r="B110" s="94"/>
      <c r="C110" s="883" t="str">
        <f t="shared" si="15"/>
        <v>Mortality from unsafe abortion (per 100,000)</v>
      </c>
      <c r="D110" s="884"/>
      <c r="E110" s="171" t="e">
        <f>VLOOKUP(E107,'Abortion rates'!$A$5:$H$23,8,FALSE)*E112</f>
        <v>#N/A</v>
      </c>
      <c r="F110" s="885" t="str">
        <f>IF(Language=English, AA110, AB110)</f>
        <v>regional ratio applied to country MMR</v>
      </c>
      <c r="G110" s="885"/>
      <c r="H110" s="885"/>
      <c r="I110" s="885"/>
      <c r="J110" s="885"/>
      <c r="K110" s="885"/>
      <c r="L110" s="885"/>
      <c r="M110" s="886"/>
      <c r="O110" s="96"/>
      <c r="P110" s="96"/>
      <c r="Q110" s="96"/>
      <c r="R110" s="3"/>
      <c r="S110" s="3"/>
      <c r="T110" s="3"/>
      <c r="U110" s="3"/>
      <c r="V110" s="3"/>
      <c r="W110" s="3"/>
      <c r="X110" s="96"/>
      <c r="Y110" s="1" t="s">
        <v>445</v>
      </c>
      <c r="Z110" s="9" t="s">
        <v>231</v>
      </c>
      <c r="AA110" s="9" t="s">
        <v>446</v>
      </c>
      <c r="AB110" s="9" t="s">
        <v>447</v>
      </c>
    </row>
    <row r="111" spans="2:31" ht="15.6" x14ac:dyDescent="0.3">
      <c r="B111" s="94"/>
      <c r="C111" s="883" t="str">
        <f t="shared" si="15"/>
        <v>Mortality from safe abortion (per 100,000)</v>
      </c>
      <c r="D111" s="884"/>
      <c r="E111" s="171">
        <v>2</v>
      </c>
      <c r="F111" s="885" t="str">
        <f>IF(Language=English, AA111, AB111)</f>
        <v>global</v>
      </c>
      <c r="G111" s="885"/>
      <c r="H111" s="885"/>
      <c r="I111" s="885"/>
      <c r="J111" s="885"/>
      <c r="K111" s="885"/>
      <c r="L111" s="885"/>
      <c r="M111" s="886"/>
      <c r="O111" s="96"/>
      <c r="P111" s="96"/>
      <c r="Q111" s="96"/>
      <c r="R111" s="3"/>
      <c r="S111" s="3"/>
      <c r="T111" s="3"/>
      <c r="U111" s="3"/>
      <c r="V111" s="3"/>
      <c r="W111" s="3"/>
      <c r="X111" s="96"/>
      <c r="Y111" s="1" t="s">
        <v>448</v>
      </c>
      <c r="Z111" s="9" t="s">
        <v>449</v>
      </c>
      <c r="AA111" s="9" t="s">
        <v>450</v>
      </c>
      <c r="AB111" s="9" t="s">
        <v>451</v>
      </c>
    </row>
    <row r="112" spans="2:31" ht="15.6" x14ac:dyDescent="0.3">
      <c r="B112" s="94"/>
      <c r="C112" s="883" t="str">
        <f t="shared" si="15"/>
        <v>MMR</v>
      </c>
      <c r="D112" s="884"/>
      <c r="E112" s="172" t="e">
        <f>'Assumption Review'!$E$50</f>
        <v>#N/A</v>
      </c>
      <c r="F112" s="885" t="str">
        <f>IF(Language=English, AA112, AB112)</f>
        <v xml:space="preserve">WHO published 2019 (recommended), country-specific, any change must be approved. </v>
      </c>
      <c r="G112" s="885"/>
      <c r="H112" s="885"/>
      <c r="I112" s="885"/>
      <c r="J112" s="885"/>
      <c r="K112" s="885"/>
      <c r="L112" s="885"/>
      <c r="M112" s="886"/>
      <c r="O112" s="96"/>
      <c r="P112" s="96"/>
      <c r="Q112" s="96"/>
      <c r="R112" s="3"/>
      <c r="S112" s="3"/>
      <c r="T112" s="3"/>
      <c r="U112" s="3"/>
      <c r="V112" s="3"/>
      <c r="W112" s="3"/>
      <c r="X112" s="96"/>
      <c r="Y112" s="1" t="s">
        <v>420</v>
      </c>
      <c r="Z112" s="9" t="s">
        <v>421</v>
      </c>
      <c r="AA112" s="9" t="s">
        <v>965</v>
      </c>
      <c r="AB112" s="9" t="s">
        <v>966</v>
      </c>
    </row>
    <row r="113" spans="2:32" ht="15.6" x14ac:dyDescent="0.3">
      <c r="B113" s="94"/>
      <c r="C113" s="883" t="str">
        <f t="shared" si="15"/>
        <v>Percent of pregnancies</v>
      </c>
      <c r="D113" s="884"/>
      <c r="E113" s="173"/>
      <c r="F113" s="885"/>
      <c r="G113" s="885"/>
      <c r="H113" s="885"/>
      <c r="I113" s="885"/>
      <c r="J113" s="885"/>
      <c r="K113" s="885"/>
      <c r="L113" s="885"/>
      <c r="M113" s="886"/>
      <c r="O113" s="55"/>
      <c r="P113" s="55"/>
      <c r="Q113" s="55"/>
      <c r="R113" s="55"/>
      <c r="S113" s="55"/>
      <c r="T113" s="55"/>
      <c r="U113" s="55"/>
      <c r="V113" s="55"/>
      <c r="W113" s="55"/>
      <c r="X113" s="55"/>
      <c r="Y113" s="1" t="s">
        <v>454</v>
      </c>
      <c r="Z113" s="9" t="s">
        <v>455</v>
      </c>
    </row>
    <row r="114" spans="2:32" ht="15.6" x14ac:dyDescent="0.3">
      <c r="B114" s="94"/>
      <c r="C114" s="887" t="str">
        <f t="shared" si="15"/>
        <v xml:space="preserve">   wanted later</v>
      </c>
      <c r="D114" s="888"/>
      <c r="E114" s="174" t="e">
        <f>$E$41</f>
        <v>#N/A</v>
      </c>
      <c r="F114" s="885" t="str">
        <f>IF(Language=English, AA114, AB114)</f>
        <v>Country input (DHS)</v>
      </c>
      <c r="G114" s="885"/>
      <c r="H114" s="885"/>
      <c r="I114" s="885"/>
      <c r="J114" s="885"/>
      <c r="K114" s="885"/>
      <c r="L114" s="885"/>
      <c r="M114" s="886"/>
      <c r="R114" s="3"/>
      <c r="S114" s="3"/>
      <c r="T114" s="3"/>
      <c r="U114" s="3"/>
      <c r="V114" s="3"/>
      <c r="W114" s="3"/>
      <c r="Y114" s="1" t="s">
        <v>573</v>
      </c>
      <c r="Z114" s="9" t="s">
        <v>574</v>
      </c>
      <c r="AA114" s="9" t="s">
        <v>753</v>
      </c>
      <c r="AB114" s="9" t="s">
        <v>754</v>
      </c>
    </row>
    <row r="115" spans="2:32" ht="16.2" thickBot="1" x14ac:dyDescent="0.35">
      <c r="B115" s="94"/>
      <c r="C115" s="889" t="str">
        <f t="shared" si="15"/>
        <v xml:space="preserve">   wanted no more</v>
      </c>
      <c r="D115" s="890"/>
      <c r="E115" s="390" t="e">
        <f>$E$42</f>
        <v>#N/A</v>
      </c>
      <c r="F115" s="891" t="str">
        <f>IF(Language=English, AA115, AB115)</f>
        <v>Country input (DHS)</v>
      </c>
      <c r="G115" s="891"/>
      <c r="H115" s="891"/>
      <c r="I115" s="891"/>
      <c r="J115" s="891"/>
      <c r="K115" s="891"/>
      <c r="L115" s="891"/>
      <c r="M115" s="892"/>
      <c r="R115" s="3"/>
      <c r="S115" s="3"/>
      <c r="T115" s="3"/>
      <c r="U115" s="3"/>
      <c r="V115" s="3"/>
      <c r="W115" s="3"/>
      <c r="Y115" s="1" t="s">
        <v>572</v>
      </c>
      <c r="Z115" s="9" t="s">
        <v>575</v>
      </c>
      <c r="AA115" s="9" t="s">
        <v>753</v>
      </c>
      <c r="AB115" s="9" t="s">
        <v>754</v>
      </c>
    </row>
    <row r="117" spans="2:32" x14ac:dyDescent="0.3">
      <c r="Y117" s="9"/>
      <c r="Z117" s="9"/>
    </row>
    <row r="118" spans="2:32" s="716" customFormat="1" ht="21.6" customHeight="1" x14ac:dyDescent="0.3">
      <c r="C118" s="882" t="str">
        <f>IF(Language="English", Y118, Z118)</f>
        <v>Next: Enter Additional Annual Indicators</v>
      </c>
      <c r="D118" s="882" t="str">
        <f>IF(Language="English", Y118, Z118)</f>
        <v>Next: Enter Additional Annual Indicators</v>
      </c>
      <c r="E118" s="882" t="str">
        <f xml:space="preserve"> IF(Language="English", Z118,#REF!)</f>
        <v xml:space="preserve">Prochain: Saisir des indicateurs annuels supplémentaires </v>
      </c>
      <c r="F118" s="882" t="e">
        <f xml:space="preserve"> IF(Language="English",#REF!,#REF!)</f>
        <v>#REF!</v>
      </c>
      <c r="G118" s="882" t="e">
        <f>IF(Language="English",#REF!, AK118)</f>
        <v>#REF!</v>
      </c>
      <c r="H118" s="882">
        <f t="shared" ref="H118:L119" si="16">IF(Language="English", AK118, AL118)</f>
        <v>0</v>
      </c>
      <c r="I118" s="882">
        <f t="shared" si="16"/>
        <v>0</v>
      </c>
      <c r="J118" s="882">
        <f t="shared" si="16"/>
        <v>0</v>
      </c>
      <c r="K118" s="882">
        <f t="shared" si="16"/>
        <v>0</v>
      </c>
      <c r="L118" s="882">
        <f t="shared" si="16"/>
        <v>0</v>
      </c>
      <c r="Y118" s="41" t="s">
        <v>1122</v>
      </c>
      <c r="Z118" s="716" t="s">
        <v>1123</v>
      </c>
      <c r="AF118" s="8"/>
    </row>
    <row r="119" spans="2:32" s="716" customFormat="1" ht="21.6" customHeight="1" x14ac:dyDescent="0.3">
      <c r="C119" s="882">
        <f>IF(Language="English", AF119, Y119)</f>
        <v>0</v>
      </c>
      <c r="D119" s="882">
        <f>IF(Language="English", Y119, Z119)</f>
        <v>0</v>
      </c>
      <c r="E119" s="882">
        <f xml:space="preserve"> IF(Language="English", Z119,#REF!)</f>
        <v>0</v>
      </c>
      <c r="F119" s="882" t="e">
        <f xml:space="preserve"> IF(Language="English",#REF!,#REF!)</f>
        <v>#REF!</v>
      </c>
      <c r="G119" s="882" t="e">
        <f>IF(Language="English",#REF!, AK119)</f>
        <v>#REF!</v>
      </c>
      <c r="H119" s="882">
        <f t="shared" si="16"/>
        <v>0</v>
      </c>
      <c r="I119" s="882">
        <f t="shared" si="16"/>
        <v>0</v>
      </c>
      <c r="J119" s="882">
        <f t="shared" si="16"/>
        <v>0</v>
      </c>
      <c r="K119" s="882">
        <f t="shared" si="16"/>
        <v>0</v>
      </c>
      <c r="L119" s="882">
        <f t="shared" si="16"/>
        <v>0</v>
      </c>
      <c r="Y119" s="41"/>
      <c r="AF119" s="8"/>
    </row>
    <row r="120" spans="2:32" x14ac:dyDescent="0.3">
      <c r="Y120" s="9"/>
      <c r="Z120" s="9"/>
    </row>
    <row r="121" spans="2:32" x14ac:dyDescent="0.3">
      <c r="AA121" s="81"/>
      <c r="AB121" s="81"/>
    </row>
    <row r="122" spans="2:32" x14ac:dyDescent="0.3">
      <c r="Y122" s="9"/>
      <c r="Z122" s="9"/>
    </row>
    <row r="123" spans="2:32" x14ac:dyDescent="0.3">
      <c r="Y123" s="9"/>
      <c r="Z123" s="9"/>
    </row>
    <row r="124" spans="2:32" x14ac:dyDescent="0.3">
      <c r="Y124" s="9"/>
      <c r="Z124" s="9"/>
    </row>
    <row r="125" spans="2:32" x14ac:dyDescent="0.3">
      <c r="Y125" s="9"/>
      <c r="Z125" s="9"/>
    </row>
    <row r="126" spans="2:32" x14ac:dyDescent="0.3">
      <c r="Y126" s="9"/>
      <c r="Z126" s="9"/>
    </row>
    <row r="127" spans="2:32" x14ac:dyDescent="0.3">
      <c r="Y127" s="9"/>
      <c r="Z127" s="9"/>
    </row>
    <row r="128" spans="2:32" x14ac:dyDescent="0.3">
      <c r="Y128" s="9"/>
      <c r="Z128" s="9"/>
    </row>
    <row r="129" s="9" customFormat="1" x14ac:dyDescent="0.3"/>
    <row r="130" s="9" customFormat="1" x14ac:dyDescent="0.3"/>
    <row r="131" s="9" customFormat="1" x14ac:dyDescent="0.3"/>
    <row r="132" s="9" customFormat="1" x14ac:dyDescent="0.3"/>
    <row r="133" s="9" customFormat="1" x14ac:dyDescent="0.3"/>
    <row r="134" s="9" customFormat="1" x14ac:dyDescent="0.3"/>
    <row r="135" s="9" customFormat="1" x14ac:dyDescent="0.3"/>
    <row r="136" s="9" customFormat="1" x14ac:dyDescent="0.3"/>
    <row r="137" s="9" customFormat="1" x14ac:dyDescent="0.3"/>
    <row r="138" s="9" customFormat="1" x14ac:dyDescent="0.3"/>
    <row r="139" s="9" customFormat="1" x14ac:dyDescent="0.3"/>
    <row r="140" s="9" customFormat="1" x14ac:dyDescent="0.3"/>
    <row r="141" s="9" customFormat="1" x14ac:dyDescent="0.3"/>
    <row r="142" s="9" customFormat="1" x14ac:dyDescent="0.3"/>
    <row r="143" s="9" customFormat="1" x14ac:dyDescent="0.3"/>
    <row r="144" s="9" customFormat="1" x14ac:dyDescent="0.3"/>
    <row r="145" s="9" customFormat="1" x14ac:dyDescent="0.3"/>
    <row r="146" s="9" customFormat="1" x14ac:dyDescent="0.3"/>
    <row r="147" s="9" customFormat="1" x14ac:dyDescent="0.3"/>
    <row r="148" s="9" customFormat="1" x14ac:dyDescent="0.3"/>
    <row r="149" s="9" customFormat="1" x14ac:dyDescent="0.3"/>
    <row r="150" s="9" customFormat="1" x14ac:dyDescent="0.3"/>
    <row r="151" s="9" customFormat="1" x14ac:dyDescent="0.3"/>
    <row r="152" s="9" customFormat="1" x14ac:dyDescent="0.3"/>
    <row r="153" s="9" customFormat="1" x14ac:dyDescent="0.3"/>
    <row r="154" s="9" customFormat="1" x14ac:dyDescent="0.3"/>
    <row r="155" s="9" customFormat="1" x14ac:dyDescent="0.3"/>
    <row r="156" s="9" customFormat="1" x14ac:dyDescent="0.3"/>
    <row r="157" s="9" customFormat="1" x14ac:dyDescent="0.3"/>
    <row r="158" s="9" customFormat="1" x14ac:dyDescent="0.3"/>
    <row r="159" s="9" customFormat="1" x14ac:dyDescent="0.3"/>
    <row r="160" s="9" customFormat="1" x14ac:dyDescent="0.3"/>
    <row r="161" spans="25:27" x14ac:dyDescent="0.3">
      <c r="Y161" s="9"/>
      <c r="Z161" s="9"/>
    </row>
    <row r="162" spans="25:27" x14ac:dyDescent="0.3">
      <c r="Y162" s="9"/>
      <c r="Z162" s="9"/>
    </row>
    <row r="163" spans="25:27" x14ac:dyDescent="0.3">
      <c r="Y163" s="9"/>
      <c r="Z163" s="9"/>
    </row>
    <row r="164" spans="25:27" x14ac:dyDescent="0.3">
      <c r="Y164" s="9"/>
      <c r="Z164" s="9"/>
    </row>
    <row r="165" spans="25:27" x14ac:dyDescent="0.3">
      <c r="Y165" s="9"/>
      <c r="Z165" s="9"/>
    </row>
    <row r="166" spans="25:27" x14ac:dyDescent="0.3">
      <c r="Y166" s="9"/>
      <c r="Z166" s="9"/>
    </row>
    <row r="167" spans="25:27" x14ac:dyDescent="0.3">
      <c r="Y167" s="9"/>
      <c r="Z167" s="9"/>
    </row>
    <row r="168" spans="25:27" x14ac:dyDescent="0.3">
      <c r="Y168" s="9"/>
      <c r="Z168" s="9"/>
    </row>
    <row r="169" spans="25:27" x14ac:dyDescent="0.3">
      <c r="Y169" s="9"/>
      <c r="Z169" s="9"/>
    </row>
    <row r="170" spans="25:27" x14ac:dyDescent="0.3">
      <c r="Y170" s="9"/>
      <c r="Z170" s="9"/>
    </row>
    <row r="171" spans="25:27" x14ac:dyDescent="0.3">
      <c r="Y171" s="9"/>
      <c r="Z171" s="9"/>
    </row>
    <row r="172" spans="25:27" x14ac:dyDescent="0.3">
      <c r="Y172" s="9"/>
      <c r="Z172" s="196"/>
      <c r="AA172" s="196"/>
    </row>
  </sheetData>
  <mergeCells count="40">
    <mergeCell ref="E24:I24"/>
    <mergeCell ref="E23:I23"/>
    <mergeCell ref="D9:E9"/>
    <mergeCell ref="D5:E5"/>
    <mergeCell ref="J5:N6"/>
    <mergeCell ref="D6:E6"/>
    <mergeCell ref="D7:E7"/>
    <mergeCell ref="J7:N8"/>
    <mergeCell ref="D8:E8"/>
    <mergeCell ref="C89:X89"/>
    <mergeCell ref="E33:I33"/>
    <mergeCell ref="B38:M38"/>
    <mergeCell ref="D40:E40"/>
    <mergeCell ref="E44:H44"/>
    <mergeCell ref="B48:R49"/>
    <mergeCell ref="E53:F53"/>
    <mergeCell ref="E61:F61"/>
    <mergeCell ref="E62:F62"/>
    <mergeCell ref="E78:H78"/>
    <mergeCell ref="E87:G87"/>
    <mergeCell ref="G61:I61"/>
    <mergeCell ref="C107:D107"/>
    <mergeCell ref="F107:M107"/>
    <mergeCell ref="C108:D108"/>
    <mergeCell ref="F108:M108"/>
    <mergeCell ref="C109:D109"/>
    <mergeCell ref="F109:M109"/>
    <mergeCell ref="C110:D110"/>
    <mergeCell ref="F110:M110"/>
    <mergeCell ref="C111:D111"/>
    <mergeCell ref="F111:M111"/>
    <mergeCell ref="C112:D112"/>
    <mergeCell ref="F112:M112"/>
    <mergeCell ref="C118:L119"/>
    <mergeCell ref="C113:D113"/>
    <mergeCell ref="F113:M113"/>
    <mergeCell ref="C114:D114"/>
    <mergeCell ref="F114:M114"/>
    <mergeCell ref="C115:D115"/>
    <mergeCell ref="F115:M115"/>
  </mergeCells>
  <hyperlinks>
    <hyperlink ref="K81:M81" location="'Indicator 1-4&amp;9_Results'!A1" tooltip="Click here" display="'Indicator 1-4&amp;9_Results'!A1" xr:uid="{F4CBDDA4-18C5-4E97-B8AF-5577C4C8D381}"/>
    <hyperlink ref="C118:L119" location="'Additional Annual Indicators'!A1" tooltip="Next / Prochain" display="'Additional Annual Indicators'!A1" xr:uid="{C020EA2B-085F-47BE-9944-0A3D950AA65A}"/>
  </hyperlink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0DB40-54FC-41E4-B126-83A7E271155A}">
  <sheetPr codeName="Sheet25">
    <tabColor theme="8"/>
  </sheetPr>
  <dimension ref="B1:AA256"/>
  <sheetViews>
    <sheetView showGridLines="0" zoomScaleNormal="100" workbookViewId="0">
      <selection activeCell="M53" sqref="M53:M54"/>
    </sheetView>
  </sheetViews>
  <sheetFormatPr defaultColWidth="5.5546875" defaultRowHeight="14.4" zeroHeight="1" x14ac:dyDescent="0.3"/>
  <cols>
    <col min="1" max="2" width="3.6640625" style="9" customWidth="1"/>
    <col min="3" max="3" width="14.88671875" style="9" customWidth="1"/>
    <col min="4" max="13" width="14.6640625" style="9" customWidth="1"/>
    <col min="14" max="14" width="14.88671875" style="9" customWidth="1"/>
    <col min="15" max="15" width="9.44140625" style="9" customWidth="1"/>
    <col min="16" max="23" width="5.5546875" style="9"/>
    <col min="24" max="24" width="5.5546875" style="9" customWidth="1"/>
    <col min="25" max="26" width="17.44140625" style="9" customWidth="1"/>
    <col min="27" max="27" width="5.5546875" style="9" customWidth="1"/>
    <col min="28" max="16383" width="5.5546875" style="9"/>
    <col min="16384" max="16384" width="5.5546875" style="9" customWidth="1"/>
  </cols>
  <sheetData>
    <row r="1" spans="2:27" s="716" customFormat="1" ht="44.4" customHeight="1" x14ac:dyDescent="0.45">
      <c r="B1" s="822" t="str">
        <f>IF(Language="english", Y1, Z1)</f>
        <v>FP2030 Annual Indicator Calculator: Report on Other Annual Indicators</v>
      </c>
      <c r="Y1" s="33" t="s">
        <v>1245</v>
      </c>
      <c r="Z1" s="726" t="s">
        <v>1239</v>
      </c>
    </row>
    <row r="2" spans="2:27" s="716" customFormat="1" ht="10.199999999999999" customHeight="1" x14ac:dyDescent="0.35">
      <c r="C2" s="2"/>
      <c r="Y2" s="816" t="s">
        <v>1265</v>
      </c>
      <c r="Z2" s="717" t="s">
        <v>1251</v>
      </c>
    </row>
    <row r="3" spans="2:27" s="716" customFormat="1" ht="19.2" customHeight="1" x14ac:dyDescent="0.35">
      <c r="B3" s="672" t="str">
        <f>IF(Language=English, Y2, Z2)</f>
        <v xml:space="preserve">Please provide information on other annual indicators that are reported at the country level : Stockouts, CYPs, and FP Expenditures. </v>
      </c>
      <c r="C3" s="2"/>
      <c r="X3" s="716" t="str">
        <f>IF(Language=English, Y3, Z3)</f>
        <v>Please read the indicator definition above carefully. If your data is based on an different definition, please explain below.</v>
      </c>
      <c r="Y3" s="736" t="s">
        <v>1105</v>
      </c>
      <c r="Z3" t="s">
        <v>1210</v>
      </c>
    </row>
    <row r="4" spans="2:27" ht="24.6" customHeight="1" x14ac:dyDescent="0.4">
      <c r="B4" s="705" t="str">
        <f>IF(Language=English, Y4, Z4)</f>
        <v>1. Percentage of facilities stocked out, by method offered, on the day of assessment  </v>
      </c>
      <c r="C4" s="704"/>
      <c r="D4" s="704"/>
      <c r="E4" s="704"/>
      <c r="F4" s="704"/>
      <c r="G4" s="704"/>
      <c r="H4" s="704"/>
      <c r="I4" s="704"/>
      <c r="J4" s="704"/>
      <c r="K4" s="704"/>
      <c r="L4" s="704"/>
      <c r="M4" s="704"/>
      <c r="N4" s="704"/>
      <c r="O4" s="704"/>
      <c r="Y4" s="786" t="s">
        <v>1108</v>
      </c>
      <c r="Z4" s="786" t="s">
        <v>1203</v>
      </c>
    </row>
    <row r="5" spans="2:27" ht="6.75" customHeight="1" x14ac:dyDescent="0.35">
      <c r="B5" s="34"/>
      <c r="Y5" s="716"/>
    </row>
    <row r="6" spans="2:27" s="716" customFormat="1" x14ac:dyDescent="0.3">
      <c r="C6" s="918" t="str">
        <f>IF(Language=English, Y6, Z6)</f>
        <v>Definition: Percentage of facilities stocked out of each type of contraceptive offered, on the day of assessment</v>
      </c>
      <c r="D6" s="918"/>
      <c r="E6" s="918"/>
      <c r="F6" s="918"/>
      <c r="G6" s="918"/>
      <c r="H6" s="918"/>
      <c r="I6" s="918"/>
      <c r="J6" s="918"/>
      <c r="K6" s="918"/>
      <c r="L6" s="918"/>
      <c r="M6" s="918"/>
      <c r="N6" s="918"/>
      <c r="O6" s="791"/>
      <c r="Y6" s="716" t="s">
        <v>1104</v>
      </c>
      <c r="Z6" s="716" t="s">
        <v>1201</v>
      </c>
    </row>
    <row r="7" spans="2:27" s="716" customFormat="1" x14ac:dyDescent="0.3">
      <c r="C7" s="920" t="str">
        <f>IF(Language=English, Y7, Z7)</f>
        <v>Data Source(s): Data for this indicator are obtained from UNFPA Supplies Surveys, SPA, SARA, other National Surveys and LMIS Reports, GHSC-PSM Quarterly Reports of stockouts by method.</v>
      </c>
      <c r="D7" s="920"/>
      <c r="E7" s="920"/>
      <c r="F7" s="920"/>
      <c r="G7" s="920"/>
      <c r="H7" s="920"/>
      <c r="I7" s="920"/>
      <c r="J7" s="920"/>
      <c r="K7" s="920"/>
      <c r="L7" s="920"/>
      <c r="M7" s="920"/>
      <c r="N7" s="920"/>
      <c r="O7" s="792"/>
      <c r="Y7" s="1" t="s">
        <v>1101</v>
      </c>
      <c r="Z7" s="1" t="s">
        <v>1202</v>
      </c>
    </row>
    <row r="8" spans="2:27" s="716" customFormat="1" ht="7.2" customHeight="1" x14ac:dyDescent="0.35">
      <c r="C8" s="727"/>
      <c r="D8" s="728"/>
      <c r="E8" s="728"/>
      <c r="F8" s="728"/>
      <c r="G8" s="728"/>
      <c r="H8" s="728"/>
      <c r="I8" s="728"/>
      <c r="J8" s="728"/>
      <c r="K8" s="728"/>
      <c r="L8" s="728"/>
      <c r="M8" s="728"/>
      <c r="N8" s="728"/>
      <c r="O8" s="728"/>
      <c r="Y8" s="716" t="s">
        <v>10</v>
      </c>
      <c r="Z8" s="818" t="s">
        <v>1249</v>
      </c>
    </row>
    <row r="9" spans="2:27" ht="14.4" customHeight="1" x14ac:dyDescent="0.3">
      <c r="C9" s="657" t="s">
        <v>8</v>
      </c>
      <c r="D9" s="921"/>
      <c r="E9" s="921"/>
      <c r="F9" s="16"/>
      <c r="H9" s="923" t="str">
        <f>X3</f>
        <v>Please read the indicator definition above carefully. If your data is based on an different definition, please explain below.</v>
      </c>
      <c r="I9" s="923"/>
      <c r="J9" s="923"/>
      <c r="Y9" s="9" t="s">
        <v>1270</v>
      </c>
      <c r="Z9" s="818" t="s">
        <v>1250</v>
      </c>
    </row>
    <row r="10" spans="2:27" x14ac:dyDescent="0.3">
      <c r="C10" s="657" t="str">
        <f>IF(Language=English, $Y$8, $Z$8)</f>
        <v>Year</v>
      </c>
      <c r="D10" s="921"/>
      <c r="E10" s="921"/>
      <c r="H10" s="923"/>
      <c r="I10" s="923"/>
      <c r="J10" s="923"/>
    </row>
    <row r="11" spans="2:27" x14ac:dyDescent="0.3">
      <c r="H11" s="923"/>
      <c r="I11" s="923"/>
      <c r="J11" s="923"/>
      <c r="Y11" s="9" t="s">
        <v>1103</v>
      </c>
      <c r="Z11" s="9" t="s">
        <v>1240</v>
      </c>
    </row>
    <row r="12" spans="2:27" s="716" customFormat="1" ht="27.6" x14ac:dyDescent="0.3">
      <c r="C12" s="926" t="str">
        <f t="shared" ref="C12:C22" si="0">IF(Language=English,Y12, Z12)</f>
        <v>Method</v>
      </c>
      <c r="D12" s="926"/>
      <c r="E12" s="813" t="str">
        <f>IF(Language="English", Y11, Z11)</f>
        <v>% of Facilities Stocked Out</v>
      </c>
      <c r="H12" s="924"/>
      <c r="I12" s="924"/>
      <c r="J12" s="924"/>
      <c r="Y12" s="37" t="s">
        <v>6</v>
      </c>
      <c r="Z12" s="37" t="s">
        <v>20</v>
      </c>
      <c r="AA12" s="18"/>
    </row>
    <row r="13" spans="2:27" s="716" customFormat="1" x14ac:dyDescent="0.3">
      <c r="C13" s="927" t="str">
        <f t="shared" si="0"/>
        <v>Female sterilization</v>
      </c>
      <c r="D13" s="927"/>
      <c r="E13" s="730"/>
      <c r="H13" s="928"/>
      <c r="I13" s="928"/>
      <c r="J13" s="928"/>
      <c r="Y13" s="38" t="s">
        <v>0</v>
      </c>
      <c r="Z13" s="717" t="s">
        <v>15</v>
      </c>
    </row>
    <row r="14" spans="2:27" s="716" customFormat="1" x14ac:dyDescent="0.3">
      <c r="C14" s="927" t="str">
        <f t="shared" si="0"/>
        <v>Male sterilization</v>
      </c>
      <c r="D14" s="927"/>
      <c r="E14" s="730"/>
      <c r="H14" s="928"/>
      <c r="I14" s="928"/>
      <c r="J14" s="928"/>
      <c r="Y14" s="38" t="s">
        <v>1</v>
      </c>
      <c r="Z14" s="717" t="s">
        <v>19</v>
      </c>
    </row>
    <row r="15" spans="2:27" s="716" customFormat="1" x14ac:dyDescent="0.3">
      <c r="C15" s="927" t="str">
        <f t="shared" si="0"/>
        <v>IUD</v>
      </c>
      <c r="D15" s="927"/>
      <c r="E15" s="730"/>
      <c r="H15" s="928"/>
      <c r="I15" s="928"/>
      <c r="J15" s="928"/>
      <c r="Y15" s="38" t="s">
        <v>3</v>
      </c>
      <c r="Z15" s="717" t="s">
        <v>17</v>
      </c>
    </row>
    <row r="16" spans="2:27" s="716" customFormat="1" x14ac:dyDescent="0.3">
      <c r="C16" s="927" t="str">
        <f t="shared" si="0"/>
        <v>Implants</v>
      </c>
      <c r="D16" s="927"/>
      <c r="E16" s="730"/>
      <c r="H16" s="928"/>
      <c r="I16" s="928"/>
      <c r="J16" s="928"/>
      <c r="Y16" s="38" t="s">
        <v>5</v>
      </c>
      <c r="Z16" s="38" t="s">
        <v>5</v>
      </c>
    </row>
    <row r="17" spans="2:26" s="716" customFormat="1" x14ac:dyDescent="0.3">
      <c r="C17" s="927" t="str">
        <f t="shared" si="0"/>
        <v>Injections</v>
      </c>
      <c r="D17" s="927"/>
      <c r="E17" s="730"/>
      <c r="H17" s="928"/>
      <c r="I17" s="928"/>
      <c r="J17" s="928"/>
      <c r="Y17" s="38" t="s">
        <v>4</v>
      </c>
      <c r="Z17" s="717" t="s">
        <v>16</v>
      </c>
    </row>
    <row r="18" spans="2:26" s="716" customFormat="1" x14ac:dyDescent="0.3">
      <c r="C18" s="927" t="str">
        <f t="shared" si="0"/>
        <v>Pill</v>
      </c>
      <c r="D18" s="927"/>
      <c r="E18" s="730"/>
      <c r="H18" s="928"/>
      <c r="I18" s="928"/>
      <c r="J18" s="928"/>
      <c r="Y18" s="38" t="s">
        <v>2</v>
      </c>
      <c r="Z18" s="717" t="s">
        <v>18</v>
      </c>
    </row>
    <row r="19" spans="2:26" s="716" customFormat="1" x14ac:dyDescent="0.3">
      <c r="C19" s="927" t="str">
        <f t="shared" si="0"/>
        <v>Male Condom</v>
      </c>
      <c r="D19" s="927"/>
      <c r="E19" s="730"/>
      <c r="H19" s="928"/>
      <c r="I19" s="928"/>
      <c r="J19" s="928"/>
      <c r="Y19" s="38" t="s">
        <v>651</v>
      </c>
      <c r="Z19" s="717" t="s">
        <v>659</v>
      </c>
    </row>
    <row r="20" spans="2:26" s="716" customFormat="1" x14ac:dyDescent="0.3">
      <c r="C20" s="927" t="str">
        <f t="shared" si="0"/>
        <v>Female Condom</v>
      </c>
      <c r="D20" s="927"/>
      <c r="E20" s="730"/>
      <c r="H20" s="928"/>
      <c r="I20" s="928"/>
      <c r="J20" s="928"/>
      <c r="Y20" s="38" t="s">
        <v>652</v>
      </c>
      <c r="Z20" s="717" t="s">
        <v>720</v>
      </c>
    </row>
    <row r="21" spans="2:26" s="716" customFormat="1" x14ac:dyDescent="0.3">
      <c r="C21" s="927" t="str">
        <f t="shared" si="0"/>
        <v>Emergency Contraception</v>
      </c>
      <c r="D21" s="927"/>
      <c r="E21" s="730"/>
      <c r="H21" s="928"/>
      <c r="I21" s="928"/>
      <c r="J21" s="928"/>
      <c r="Y21" s="38" t="s">
        <v>1102</v>
      </c>
      <c r="Z21" s="717" t="s">
        <v>1228</v>
      </c>
    </row>
    <row r="22" spans="2:26" s="716" customFormat="1" x14ac:dyDescent="0.3">
      <c r="C22" s="927" t="str">
        <f t="shared" si="0"/>
        <v>Other modern methods</v>
      </c>
      <c r="D22" s="927"/>
      <c r="E22" s="730"/>
      <c r="H22" s="928"/>
      <c r="I22" s="928"/>
      <c r="J22" s="928"/>
      <c r="Y22" s="38" t="s">
        <v>112</v>
      </c>
      <c r="Z22" s="39" t="s">
        <v>111</v>
      </c>
    </row>
    <row r="23" spans="2:26" s="716" customFormat="1" x14ac:dyDescent="0.3">
      <c r="C23" s="615"/>
    </row>
    <row r="24" spans="2:26" s="716" customFormat="1" ht="24.6" customHeight="1" x14ac:dyDescent="0.3">
      <c r="B24" s="705" t="str">
        <f>IF(Language=English, Y24, Z24)</f>
        <v>2. Percentage of primary SDPs that have at least 3 modern methods of contraception available on day of assessment</v>
      </c>
      <c r="C24" s="704"/>
      <c r="D24" s="704"/>
      <c r="E24" s="704"/>
      <c r="F24" s="704"/>
      <c r="G24" s="704"/>
      <c r="H24" s="704"/>
      <c r="I24" s="704"/>
      <c r="J24" s="704"/>
      <c r="K24" s="704"/>
      <c r="L24" s="704"/>
      <c r="M24" s="704"/>
      <c r="N24" s="704"/>
      <c r="O24" s="704"/>
      <c r="Y24" s="705" t="s">
        <v>1109</v>
      </c>
      <c r="Z24" s="736" t="s">
        <v>1197</v>
      </c>
    </row>
    <row r="25" spans="2:26" s="716" customFormat="1" ht="6.75" customHeight="1" x14ac:dyDescent="0.35">
      <c r="B25" s="34"/>
    </row>
    <row r="26" spans="2:26" s="716" customFormat="1" ht="18" x14ac:dyDescent="0.35">
      <c r="C26" s="918" t="str">
        <f>IF(Language=English, Y26, Z26)</f>
        <v xml:space="preserve">Definition: The percentage of primary service delivery points that have at least 3 modern methods of contraception available on the day of the assessment. Typically, primary facilities are the first point of care. </v>
      </c>
      <c r="D26" s="918"/>
      <c r="E26" s="918"/>
      <c r="F26" s="918"/>
      <c r="G26" s="918"/>
      <c r="H26" s="918"/>
      <c r="I26" s="918"/>
      <c r="J26" s="918"/>
      <c r="K26" s="918"/>
      <c r="L26" s="918"/>
      <c r="M26" s="918"/>
      <c r="N26" s="918"/>
      <c r="O26" s="728"/>
      <c r="Y26" s="727" t="s">
        <v>1106</v>
      </c>
      <c r="Z26" s="1" t="s">
        <v>1198</v>
      </c>
    </row>
    <row r="27" spans="2:26" s="716" customFormat="1" ht="18" x14ac:dyDescent="0.35">
      <c r="C27" s="919" t="str">
        <f>IF(Language=English, Y27, Z27)</f>
        <v>Data Source(s): Data for this indicator are obtained from UNFPA Supplies Surveys, SPA, SARA, other National Surveys and LMIS Reports, GHSC-PSM Quarterly Reports of stockouts by method.</v>
      </c>
      <c r="D27" s="919"/>
      <c r="E27" s="919"/>
      <c r="F27" s="919"/>
      <c r="G27" s="919"/>
      <c r="H27" s="919"/>
      <c r="I27" s="919"/>
      <c r="J27" s="919"/>
      <c r="K27" s="919"/>
      <c r="L27" s="919"/>
      <c r="M27" s="919"/>
      <c r="N27" s="919"/>
      <c r="O27" s="728"/>
      <c r="Y27" s="727" t="s">
        <v>1101</v>
      </c>
      <c r="Z27" s="785" t="s">
        <v>1199</v>
      </c>
    </row>
    <row r="28" spans="2:26" s="716" customFormat="1" ht="7.2" customHeight="1" x14ac:dyDescent="0.35">
      <c r="C28" s="727"/>
      <c r="D28" s="728"/>
      <c r="E28" s="728"/>
      <c r="F28" s="728"/>
      <c r="G28" s="728"/>
      <c r="H28" s="728"/>
      <c r="I28" s="728"/>
      <c r="J28" s="728"/>
      <c r="K28" s="728"/>
      <c r="L28" s="728"/>
      <c r="M28" s="728"/>
      <c r="N28" s="728"/>
      <c r="O28" s="728"/>
    </row>
    <row r="29" spans="2:26" s="716" customFormat="1" ht="14.4" customHeight="1" x14ac:dyDescent="0.3">
      <c r="C29" s="712" t="s">
        <v>8</v>
      </c>
      <c r="D29" s="921"/>
      <c r="E29" s="921"/>
      <c r="F29" s="715"/>
      <c r="G29" s="923" t="str">
        <f>X3</f>
        <v>Please read the indicator definition above carefully. If your data is based on an different definition, please explain below.</v>
      </c>
      <c r="H29" s="923"/>
      <c r="I29" s="923"/>
      <c r="J29" s="923"/>
      <c r="K29" s="923"/>
      <c r="L29" s="923"/>
      <c r="M29" s="923"/>
    </row>
    <row r="30" spans="2:26" s="716" customFormat="1" x14ac:dyDescent="0.3">
      <c r="C30" s="818" t="str">
        <f>IF(Language=English, $Y$8, $Z$8)</f>
        <v>Year</v>
      </c>
      <c r="D30" s="921"/>
      <c r="E30" s="921"/>
      <c r="G30" s="924"/>
      <c r="H30" s="924"/>
      <c r="I30" s="924"/>
      <c r="J30" s="924"/>
      <c r="K30" s="924"/>
      <c r="L30" s="924"/>
      <c r="M30" s="924"/>
    </row>
    <row r="31" spans="2:26" customFormat="1" x14ac:dyDescent="0.3">
      <c r="C31" s="9"/>
      <c r="D31" s="736"/>
      <c r="E31" s="736"/>
      <c r="G31" s="925"/>
      <c r="H31" s="925"/>
      <c r="I31" s="925"/>
      <c r="J31" s="925"/>
      <c r="K31" s="925"/>
      <c r="L31" s="925"/>
      <c r="M31" s="925"/>
    </row>
    <row r="32" spans="2:26" s="716" customFormat="1" x14ac:dyDescent="0.3">
      <c r="C32" s="818" t="str">
        <f>IF(Language=English, $Y$9, $Z$9)</f>
        <v>Value (%)</v>
      </c>
      <c r="D32" s="922"/>
      <c r="E32" s="922"/>
      <c r="F32" s="702"/>
      <c r="G32" s="925"/>
      <c r="H32" s="925"/>
      <c r="I32" s="925"/>
      <c r="J32" s="925"/>
      <c r="K32" s="925"/>
      <c r="L32" s="925"/>
      <c r="M32" s="925"/>
    </row>
    <row r="33" spans="2:26" x14ac:dyDescent="0.3">
      <c r="C33"/>
      <c r="D33"/>
      <c r="E33"/>
      <c r="F33" s="702"/>
      <c r="G33" s="702"/>
      <c r="H33"/>
      <c r="I33"/>
      <c r="J33"/>
      <c r="K33"/>
      <c r="L33"/>
      <c r="M33"/>
      <c r="N33"/>
    </row>
    <row r="34" spans="2:26" s="716" customFormat="1" ht="24.6" customHeight="1" x14ac:dyDescent="0.4">
      <c r="B34" s="705" t="str">
        <f>IF(Language=English, Y34, Z34)</f>
        <v>3. Percentage of secondary/tertiary SDPs with at least 5 modern methods of contraception available on day of assessment</v>
      </c>
      <c r="C34" s="704"/>
      <c r="D34" s="704"/>
      <c r="E34" s="704"/>
      <c r="F34" s="704"/>
      <c r="G34" s="704"/>
      <c r="H34" s="704"/>
      <c r="I34" s="704"/>
      <c r="J34" s="704"/>
      <c r="K34" s="704"/>
      <c r="L34" s="704"/>
      <c r="M34" s="704"/>
      <c r="N34" s="704"/>
      <c r="O34" s="704"/>
      <c r="Y34" s="705" t="s">
        <v>1110</v>
      </c>
      <c r="Z34" s="786" t="s">
        <v>1204</v>
      </c>
    </row>
    <row r="35" spans="2:26" s="716" customFormat="1" ht="6.75" customHeight="1" x14ac:dyDescent="0.35">
      <c r="B35" s="34"/>
    </row>
    <row r="36" spans="2:26" s="716" customFormat="1" ht="29.4" customHeight="1" x14ac:dyDescent="0.35">
      <c r="C36" s="918" t="str">
        <f>IF(Language=English, Y36, Z36)</f>
        <v xml:space="preserve">Definition: The percentage of secondary and tertiary service delivery points that have at least 5 modern methods of contraception available on the day of the assessment. 
Secondary facilities tend to be referral facilities, such as hospitals. Tertiary facilities tend to be more highly specialized hospitals.  </v>
      </c>
      <c r="D36" s="918"/>
      <c r="E36" s="918"/>
      <c r="F36" s="918"/>
      <c r="G36" s="918"/>
      <c r="H36" s="918"/>
      <c r="I36" s="918"/>
      <c r="J36" s="918"/>
      <c r="K36" s="918"/>
      <c r="L36" s="918"/>
      <c r="M36" s="918"/>
      <c r="N36" s="918"/>
      <c r="O36" s="728"/>
      <c r="Y36" s="787" t="s">
        <v>1107</v>
      </c>
      <c r="Z36" s="1" t="s">
        <v>1200</v>
      </c>
    </row>
    <row r="37" spans="2:26" s="716" customFormat="1" ht="18" x14ac:dyDescent="0.35">
      <c r="C37" s="919" t="str">
        <f>IF(Language=English, Y37, Z37)</f>
        <v>Data Source(s): Data for this indicator are obtained from UNFPA Supplies Surveys, SPA, SARA, other National Surveys and LMIS Reports, GHSC-PSM Quarterly Reports of stockouts by method.</v>
      </c>
      <c r="D37" s="919"/>
      <c r="E37" s="919"/>
      <c r="F37" s="919"/>
      <c r="G37" s="919"/>
      <c r="H37" s="919"/>
      <c r="I37" s="919"/>
      <c r="J37" s="919"/>
      <c r="K37" s="919"/>
      <c r="L37" s="919"/>
      <c r="M37" s="919"/>
      <c r="N37" s="919"/>
      <c r="O37" s="728"/>
      <c r="Y37" s="727" t="s">
        <v>1101</v>
      </c>
      <c r="Z37" s="785" t="s">
        <v>1199</v>
      </c>
    </row>
    <row r="38" spans="2:26" s="716" customFormat="1" ht="7.2" customHeight="1" x14ac:dyDescent="0.35">
      <c r="C38" s="727"/>
      <c r="D38" s="728"/>
      <c r="E38" s="728"/>
      <c r="F38" s="728"/>
      <c r="G38" s="728"/>
      <c r="H38" s="728"/>
      <c r="I38" s="728"/>
      <c r="J38" s="728"/>
      <c r="K38" s="728"/>
      <c r="L38" s="728"/>
      <c r="M38" s="728"/>
      <c r="N38" s="728"/>
      <c r="O38" s="728"/>
    </row>
    <row r="39" spans="2:26" s="716" customFormat="1" ht="14.4" customHeight="1" x14ac:dyDescent="0.3">
      <c r="C39" s="814" t="s">
        <v>8</v>
      </c>
      <c r="D39" s="930"/>
      <c r="E39" s="930"/>
      <c r="F39" s="715"/>
      <c r="G39" s="923" t="str">
        <f>X3</f>
        <v>Please read the indicator definition above carefully. If your data is based on an different definition, please explain below.</v>
      </c>
      <c r="H39" s="923"/>
      <c r="I39" s="923"/>
      <c r="J39" s="923"/>
      <c r="K39" s="923"/>
      <c r="L39" s="923"/>
      <c r="M39" s="923"/>
    </row>
    <row r="40" spans="2:26" s="716" customFormat="1" x14ac:dyDescent="0.3">
      <c r="C40" s="818" t="str">
        <f>IF(Language=English, $Y$8, $Z$8)</f>
        <v>Year</v>
      </c>
      <c r="D40" s="930"/>
      <c r="E40" s="930"/>
      <c r="G40" s="923"/>
      <c r="H40" s="923"/>
      <c r="I40" s="923"/>
      <c r="J40" s="923"/>
      <c r="K40" s="923"/>
      <c r="L40" s="923"/>
      <c r="M40" s="923"/>
    </row>
    <row r="41" spans="2:26" s="716" customFormat="1" x14ac:dyDescent="0.3">
      <c r="G41" s="925"/>
      <c r="H41" s="925"/>
      <c r="I41" s="925"/>
      <c r="J41" s="925"/>
      <c r="K41" s="925"/>
      <c r="L41" s="925"/>
      <c r="M41" s="925"/>
    </row>
    <row r="42" spans="2:26" s="716" customFormat="1" x14ac:dyDescent="0.3">
      <c r="C42" s="818" t="str">
        <f>IF(Language=English, $Y$9, $Z$9)</f>
        <v>Value (%)</v>
      </c>
      <c r="D42" s="931"/>
      <c r="E42" s="931"/>
      <c r="F42" s="702"/>
      <c r="G42" s="925"/>
      <c r="H42" s="925"/>
      <c r="I42" s="925"/>
      <c r="J42" s="925"/>
      <c r="K42" s="925"/>
      <c r="L42" s="925"/>
      <c r="M42" s="925"/>
    </row>
    <row r="43" spans="2:26" s="716" customFormat="1" x14ac:dyDescent="0.3">
      <c r="F43" s="702"/>
      <c r="G43" s="702"/>
    </row>
    <row r="44" spans="2:26" ht="19.5" customHeight="1" x14ac:dyDescent="0.3"/>
    <row r="45" spans="2:26" s="716" customFormat="1" ht="24.6" customHeight="1" x14ac:dyDescent="0.4">
      <c r="B45" s="705" t="str">
        <f>IF(Language=English, Y45, Z45)</f>
        <v>4. Couple Years of Protection (CYPs)</v>
      </c>
      <c r="C45" s="704"/>
      <c r="D45" s="704"/>
      <c r="E45" s="704"/>
      <c r="F45" s="704"/>
      <c r="G45" s="704"/>
      <c r="H45" s="704"/>
      <c r="I45" s="704"/>
      <c r="J45" s="704"/>
      <c r="K45" s="704"/>
      <c r="L45" s="704"/>
      <c r="M45" s="704"/>
      <c r="N45" s="704"/>
      <c r="O45" s="704"/>
      <c r="Y45" s="705" t="s">
        <v>1111</v>
      </c>
      <c r="Z45" s="786" t="s">
        <v>1205</v>
      </c>
    </row>
    <row r="46" spans="2:26" s="716" customFormat="1" ht="6.75" customHeight="1" x14ac:dyDescent="0.35">
      <c r="B46" s="34"/>
    </row>
    <row r="47" spans="2:26" s="716" customFormat="1" ht="33.6" customHeight="1" x14ac:dyDescent="0.35">
      <c r="C47" s="918" t="str">
        <f>IF(Language=English, Y47, Z47)</f>
        <v>Definition: The estimated protection provided by family planning services during a one year period, based upon the volume of all contraceptives sold or distributed free of charge to clients during that period.</v>
      </c>
      <c r="D47" s="918"/>
      <c r="E47" s="918"/>
      <c r="F47" s="918"/>
      <c r="G47" s="918"/>
      <c r="H47" s="918"/>
      <c r="I47" s="918"/>
      <c r="J47" s="918"/>
      <c r="K47" s="918"/>
      <c r="L47" s="918"/>
      <c r="M47" s="918"/>
      <c r="N47" s="918"/>
      <c r="O47" s="728"/>
      <c r="Y47" s="787" t="s">
        <v>1112</v>
      </c>
      <c r="Z47" s="788" t="s">
        <v>1206</v>
      </c>
    </row>
    <row r="48" spans="2:26" s="716" customFormat="1" ht="18" x14ac:dyDescent="0.35">
      <c r="C48" s="919" t="str">
        <f>IF(Language=English, Y48, Z48)</f>
        <v xml:space="preserve">Data Source(s): This indicator is calculated in the Inputs tab of the SS to EMU Tool for Commodities or Visits data. Data can also come directly from Health Management Information Systems (HMIS) . </v>
      </c>
      <c r="D48" s="919"/>
      <c r="E48" s="919"/>
      <c r="F48" s="919"/>
      <c r="G48" s="919"/>
      <c r="H48" s="919"/>
      <c r="I48" s="919"/>
      <c r="J48" s="919"/>
      <c r="K48" s="919"/>
      <c r="L48" s="919"/>
      <c r="M48" s="919"/>
      <c r="N48" s="919"/>
      <c r="O48" s="728"/>
      <c r="Y48" s="727" t="s">
        <v>1113</v>
      </c>
      <c r="Z48" s="30" t="s">
        <v>1207</v>
      </c>
    </row>
    <row r="49" spans="2:26" s="716" customFormat="1" ht="7.2" customHeight="1" x14ac:dyDescent="0.35">
      <c r="C49" s="727"/>
      <c r="D49" s="728"/>
      <c r="E49" s="728"/>
      <c r="F49" s="728"/>
      <c r="G49" s="728"/>
      <c r="H49" s="728"/>
      <c r="I49" s="728"/>
      <c r="J49" s="728"/>
      <c r="K49" s="728"/>
      <c r="L49" s="728"/>
      <c r="M49" s="728"/>
      <c r="N49" s="728"/>
      <c r="O49" s="728"/>
    </row>
    <row r="50" spans="2:26" s="716" customFormat="1" ht="14.4" customHeight="1" x14ac:dyDescent="0.3">
      <c r="C50" s="712" t="s">
        <v>8</v>
      </c>
      <c r="D50" s="930"/>
      <c r="E50" s="930"/>
      <c r="F50" s="715" t="s">
        <v>1253</v>
      </c>
      <c r="G50"/>
      <c r="H50"/>
      <c r="I50"/>
      <c r="J50"/>
      <c r="K50"/>
      <c r="L50"/>
      <c r="M50"/>
    </row>
    <row r="51" spans="2:26" s="716" customFormat="1" x14ac:dyDescent="0.3">
      <c r="C51" s="712" t="str">
        <f>IF(Language=English, Y51, Z51)</f>
        <v>Data Type</v>
      </c>
      <c r="D51" s="930"/>
      <c r="E51" s="930"/>
      <c r="F51" s="715" t="s">
        <v>1254</v>
      </c>
      <c r="G51"/>
      <c r="H51"/>
      <c r="I51"/>
      <c r="J51"/>
      <c r="K51"/>
      <c r="L51"/>
      <c r="M51"/>
      <c r="Y51" s="716" t="s">
        <v>1271</v>
      </c>
      <c r="Z51" s="716" t="s">
        <v>1252</v>
      </c>
    </row>
    <row r="52" spans="2:26" s="716" customFormat="1" x14ac:dyDescent="0.3">
      <c r="G52"/>
      <c r="H52"/>
      <c r="I52"/>
      <c r="J52"/>
      <c r="K52"/>
      <c r="L52"/>
      <c r="M52"/>
    </row>
    <row r="53" spans="2:26" s="716" customFormat="1" x14ac:dyDescent="0.3">
      <c r="D53" s="701">
        <v>2012</v>
      </c>
      <c r="E53" s="701">
        <v>2013</v>
      </c>
      <c r="F53" s="701">
        <v>2014</v>
      </c>
      <c r="G53" s="701">
        <v>2015</v>
      </c>
      <c r="H53" s="701">
        <v>2016</v>
      </c>
      <c r="I53" s="701">
        <v>2017</v>
      </c>
      <c r="J53" s="701">
        <v>2018</v>
      </c>
      <c r="K53" s="558">
        <v>2019</v>
      </c>
      <c r="L53" s="558">
        <v>2020</v>
      </c>
      <c r="M53" s="701">
        <v>2021</v>
      </c>
      <c r="Z53" s="818"/>
    </row>
    <row r="54" spans="2:26" s="716" customFormat="1" x14ac:dyDescent="0.3">
      <c r="C54" s="818" t="str">
        <f>IF(Language=English, Y54, Z54)</f>
        <v>CYPs</v>
      </c>
      <c r="D54" s="782"/>
      <c r="E54" s="782"/>
      <c r="F54" s="782"/>
      <c r="G54" s="782"/>
      <c r="H54" s="782"/>
      <c r="I54" s="782"/>
      <c r="J54" s="782"/>
      <c r="K54" s="782"/>
      <c r="L54" s="714"/>
      <c r="M54" s="714"/>
      <c r="Y54" s="716" t="s">
        <v>1272</v>
      </c>
      <c r="Z54" s="818" t="s">
        <v>1163</v>
      </c>
    </row>
    <row r="55" spans="2:26" s="716" customFormat="1" ht="19.5" customHeight="1" x14ac:dyDescent="0.3"/>
    <row r="56" spans="2:26" s="716" customFormat="1" ht="24.6" customHeight="1" x14ac:dyDescent="0.3">
      <c r="B56" s="705" t="str">
        <f>IF(Language=English, Y56, Z56)</f>
        <v>5. Annual expenditure on family planning from government domestic budget</v>
      </c>
      <c r="C56" s="704"/>
      <c r="D56" s="704"/>
      <c r="E56" s="704"/>
      <c r="F56" s="704"/>
      <c r="G56" s="704"/>
      <c r="H56" s="704"/>
      <c r="I56" s="704"/>
      <c r="J56" s="704"/>
      <c r="K56" s="704"/>
      <c r="L56" s="704"/>
      <c r="M56" s="704"/>
      <c r="N56" s="704"/>
      <c r="O56" s="704"/>
      <c r="Y56" s="705" t="s">
        <v>1114</v>
      </c>
      <c r="Z56" s="789" t="s">
        <v>1170</v>
      </c>
    </row>
    <row r="57" spans="2:26" s="716" customFormat="1" ht="6.75" customHeight="1" x14ac:dyDescent="0.35">
      <c r="B57" s="34"/>
    </row>
    <row r="58" spans="2:26" s="716" customFormat="1" ht="18" customHeight="1" x14ac:dyDescent="0.35">
      <c r="C58" s="918" t="str">
        <f>IF(Language=English, Y58, Z58)</f>
        <v>Definition: The total amount of public sector recurrent expenditures on family planning. This includes expenditures by all levels of government.</v>
      </c>
      <c r="D58" s="918"/>
      <c r="E58" s="918"/>
      <c r="F58" s="918"/>
      <c r="G58" s="918"/>
      <c r="H58" s="918"/>
      <c r="I58" s="918"/>
      <c r="J58" s="918"/>
      <c r="K58" s="918"/>
      <c r="L58" s="918"/>
      <c r="M58" s="918"/>
      <c r="N58" s="918"/>
      <c r="O58" s="728"/>
      <c r="Y58" s="787" t="s">
        <v>1115</v>
      </c>
      <c r="Z58" s="790" t="s">
        <v>1208</v>
      </c>
    </row>
    <row r="59" spans="2:26" s="716" customFormat="1" ht="32.4" customHeight="1" x14ac:dyDescent="0.35">
      <c r="C59" s="920" t="str">
        <f>IF(Language=English, Y59, Z59)</f>
        <v xml:space="preserve">Data Source(s): Data for this indicator are obtained either directly from a country's government, a series of surveys conducted by UNFPA, the World Health Organization's System of Health accounts country reports, or from Track20's Family Planning Spending Assessment (FPSA). </v>
      </c>
      <c r="D59" s="920"/>
      <c r="E59" s="920"/>
      <c r="F59" s="920"/>
      <c r="G59" s="920"/>
      <c r="H59" s="920"/>
      <c r="I59" s="920"/>
      <c r="J59" s="920"/>
      <c r="K59" s="920"/>
      <c r="L59" s="920"/>
      <c r="M59" s="920"/>
      <c r="N59" s="920"/>
      <c r="O59" s="728"/>
      <c r="Y59" s="787" t="s">
        <v>1116</v>
      </c>
      <c r="Z59" s="790" t="s">
        <v>1209</v>
      </c>
    </row>
    <row r="60" spans="2:26" s="716" customFormat="1" ht="7.2" customHeight="1" x14ac:dyDescent="0.35">
      <c r="C60" s="727"/>
      <c r="D60" s="728"/>
      <c r="E60" s="728"/>
      <c r="F60" s="728"/>
      <c r="G60" s="728"/>
      <c r="H60" s="728"/>
      <c r="I60" s="728"/>
      <c r="J60" s="728"/>
      <c r="K60" s="728"/>
      <c r="L60" s="728"/>
      <c r="M60" s="728"/>
      <c r="N60" s="728"/>
      <c r="O60" s="728"/>
    </row>
    <row r="61" spans="2:26" s="716" customFormat="1" ht="14.4" customHeight="1" x14ac:dyDescent="0.3">
      <c r="C61" s="712" t="s">
        <v>8</v>
      </c>
      <c r="D61" s="929"/>
      <c r="E61" s="929"/>
      <c r="F61" s="715"/>
    </row>
    <row r="62" spans="2:26" s="716" customFormat="1" x14ac:dyDescent="0.3">
      <c r="C62" s="818" t="str">
        <f>IF(Language=English, Y62, Z62)</f>
        <v>Currency</v>
      </c>
      <c r="D62" s="929"/>
      <c r="E62" s="929"/>
      <c r="F62" s="715"/>
      <c r="Y62" s="818" t="s">
        <v>1117</v>
      </c>
      <c r="Z62" s="716" t="s">
        <v>1255</v>
      </c>
    </row>
    <row r="63" spans="2:26" s="716" customFormat="1" x14ac:dyDescent="0.3"/>
    <row r="64" spans="2:26" s="716" customFormat="1" x14ac:dyDescent="0.3">
      <c r="D64" s="701">
        <v>2012</v>
      </c>
      <c r="E64" s="701">
        <v>2013</v>
      </c>
      <c r="F64" s="701">
        <v>2014</v>
      </c>
      <c r="G64" s="701">
        <v>2015</v>
      </c>
      <c r="H64" s="701">
        <v>2016</v>
      </c>
      <c r="I64" s="701">
        <v>2017</v>
      </c>
      <c r="J64" s="701">
        <v>2018</v>
      </c>
      <c r="K64" s="558">
        <v>2019</v>
      </c>
      <c r="L64" s="558">
        <v>2020</v>
      </c>
      <c r="M64" s="701">
        <v>2021</v>
      </c>
    </row>
    <row r="65" spans="3:26" s="716" customFormat="1" ht="28.8" x14ac:dyDescent="0.3">
      <c r="C65" s="615" t="str">
        <f>IF(Language=English, Y65, Z65)</f>
        <v xml:space="preserve">Government expenditure </v>
      </c>
      <c r="D65" s="815"/>
      <c r="E65" s="815"/>
      <c r="F65" s="815"/>
      <c r="G65" s="815"/>
      <c r="H65" s="815"/>
      <c r="I65" s="815"/>
      <c r="J65" s="815"/>
      <c r="K65" s="815"/>
      <c r="L65" s="815"/>
      <c r="M65" s="815"/>
      <c r="Y65" s="716" t="s">
        <v>1040</v>
      </c>
      <c r="Z65" t="s">
        <v>1241</v>
      </c>
    </row>
    <row r="66" spans="3:26" customFormat="1" ht="19.5" customHeight="1" x14ac:dyDescent="0.3"/>
    <row r="67" spans="3:26" customFormat="1" x14ac:dyDescent="0.3"/>
    <row r="68" spans="3:26" s="716" customFormat="1" x14ac:dyDescent="0.3">
      <c r="V68" s="42"/>
      <c r="W68" s="807"/>
    </row>
    <row r="69" spans="3:26" s="716" customFormat="1" x14ac:dyDescent="0.3">
      <c r="E69" s="25"/>
      <c r="V69" s="42"/>
      <c r="W69" s="807"/>
    </row>
    <row r="70" spans="3:26" s="716" customFormat="1" ht="29.25" customHeight="1" x14ac:dyDescent="0.3">
      <c r="G70" s="917" t="str">
        <f>IF(Language = English, Y124,Z124)</f>
        <v>Enter your national contraceptive prevalence goal</v>
      </c>
      <c r="H70" s="917"/>
      <c r="I70" s="917"/>
      <c r="J70" s="917"/>
      <c r="K70" s="917"/>
      <c r="V70" s="42"/>
      <c r="W70" s="807"/>
    </row>
    <row r="71" spans="3:26" s="716" customFormat="1" x14ac:dyDescent="0.3">
      <c r="G71" s="917"/>
      <c r="H71" s="917"/>
      <c r="I71" s="917"/>
      <c r="J71" s="917"/>
      <c r="K71" s="917"/>
      <c r="L71" s="53"/>
      <c r="M71" s="53"/>
      <c r="N71" s="53"/>
      <c r="O71" s="53"/>
      <c r="P71" s="53"/>
      <c r="Q71" s="53"/>
      <c r="V71" s="42"/>
      <c r="W71" s="807"/>
    </row>
    <row r="72" spans="3:26" s="716" customFormat="1" hidden="1" x14ac:dyDescent="0.3">
      <c r="V72" s="42"/>
      <c r="W72" s="807"/>
    </row>
    <row r="73" spans="3:26" s="716" customFormat="1" hidden="1" x14ac:dyDescent="0.3">
      <c r="V73" s="42"/>
      <c r="W73" s="807"/>
    </row>
    <row r="74" spans="3:26" s="716" customFormat="1" hidden="1" x14ac:dyDescent="0.3">
      <c r="V74" s="42"/>
      <c r="W74" s="807"/>
    </row>
    <row r="75" spans="3:26" s="716" customFormat="1" hidden="1" x14ac:dyDescent="0.3">
      <c r="V75" s="42"/>
      <c r="W75" s="807"/>
    </row>
    <row r="76" spans="3:26" s="716" customFormat="1" hidden="1" x14ac:dyDescent="0.3">
      <c r="V76" s="42"/>
      <c r="W76" s="807"/>
    </row>
    <row r="77" spans="3:26" s="716" customFormat="1" hidden="1" x14ac:dyDescent="0.3">
      <c r="V77" s="42"/>
      <c r="W77" s="807"/>
    </row>
    <row r="78" spans="3:26" s="716" customFormat="1" hidden="1" x14ac:dyDescent="0.3">
      <c r="V78" s="42"/>
      <c r="W78" s="807"/>
    </row>
    <row r="79" spans="3:26" s="716" customFormat="1" hidden="1" x14ac:dyDescent="0.3">
      <c r="V79" s="42"/>
      <c r="W79" s="807"/>
    </row>
    <row r="80" spans="3:26" s="716" customFormat="1" hidden="1" x14ac:dyDescent="0.3">
      <c r="V80" s="42"/>
      <c r="W80" s="807"/>
    </row>
    <row r="81" spans="3:23" s="716" customFormat="1" hidden="1" x14ac:dyDescent="0.3">
      <c r="V81" s="42"/>
      <c r="W81" s="807"/>
    </row>
    <row r="82" spans="3:23" s="716" customFormat="1" hidden="1" x14ac:dyDescent="0.3">
      <c r="V82" s="42"/>
      <c r="W82" s="807"/>
    </row>
    <row r="83" spans="3:23" s="716" customFormat="1" hidden="1" x14ac:dyDescent="0.3">
      <c r="V83" s="42"/>
      <c r="W83" s="807"/>
    </row>
    <row r="84" spans="3:23" s="716" customFormat="1" hidden="1" x14ac:dyDescent="0.3">
      <c r="V84" s="42"/>
      <c r="W84" s="807"/>
    </row>
    <row r="85" spans="3:23" s="716" customFormat="1" hidden="1" x14ac:dyDescent="0.3">
      <c r="V85" s="42"/>
      <c r="W85" s="807"/>
    </row>
    <row r="86" spans="3:23" s="716" customFormat="1" hidden="1" x14ac:dyDescent="0.3">
      <c r="V86" s="42"/>
      <c r="W86" s="807"/>
    </row>
    <row r="87" spans="3:23" s="716" customFormat="1" hidden="1" x14ac:dyDescent="0.3">
      <c r="V87" s="42"/>
      <c r="W87" s="807"/>
    </row>
    <row r="88" spans="3:23" s="716" customFormat="1" hidden="1" x14ac:dyDescent="0.3">
      <c r="V88" s="42"/>
      <c r="W88" s="807"/>
    </row>
    <row r="89" spans="3:23" s="716" customFormat="1" hidden="1" x14ac:dyDescent="0.3">
      <c r="C89" s="716" t="s">
        <v>13</v>
      </c>
      <c r="V89" s="42"/>
      <c r="W89" s="807"/>
    </row>
    <row r="90" spans="3:23" s="716" customFormat="1" hidden="1" x14ac:dyDescent="0.3">
      <c r="C90" s="716" t="s">
        <v>14</v>
      </c>
      <c r="V90" s="42"/>
      <c r="W90" s="807"/>
    </row>
    <row r="91" spans="3:23" s="716" customFormat="1" hidden="1" x14ac:dyDescent="0.3">
      <c r="V91" s="42"/>
      <c r="W91" s="807"/>
    </row>
    <row r="92" spans="3:23" s="716" customFormat="1" ht="18" hidden="1" x14ac:dyDescent="0.35">
      <c r="C92" s="2" t="s">
        <v>29</v>
      </c>
      <c r="D92" s="2"/>
      <c r="V92" s="42"/>
      <c r="W92" s="807"/>
    </row>
    <row r="93" spans="3:23" s="716" customFormat="1" ht="18" hidden="1" x14ac:dyDescent="0.35">
      <c r="C93" s="2" t="s">
        <v>12</v>
      </c>
      <c r="D93" s="2"/>
      <c r="V93" s="42"/>
      <c r="W93" s="807"/>
    </row>
    <row r="94" spans="3:23" s="716" customFormat="1" ht="18" hidden="1" x14ac:dyDescent="0.35">
      <c r="C94" s="2" t="s">
        <v>28</v>
      </c>
      <c r="D94" s="2"/>
      <c r="V94" s="42"/>
      <c r="W94" s="807"/>
    </row>
    <row r="95" spans="3:23" s="716" customFormat="1" ht="18" hidden="1" x14ac:dyDescent="0.35">
      <c r="C95" s="2" t="s">
        <v>10</v>
      </c>
      <c r="D95" s="2"/>
      <c r="V95" s="42"/>
      <c r="W95" s="807"/>
    </row>
    <row r="96" spans="3:23" s="716" customFormat="1" hidden="1" x14ac:dyDescent="0.3">
      <c r="V96" s="42"/>
      <c r="W96" s="807"/>
    </row>
    <row r="97" spans="3:23" s="716" customFormat="1" hidden="1" x14ac:dyDescent="0.3">
      <c r="C97" s="716" t="s">
        <v>95</v>
      </c>
      <c r="V97" s="42"/>
      <c r="W97" s="807"/>
    </row>
    <row r="98" spans="3:23" s="716" customFormat="1" hidden="1" x14ac:dyDescent="0.3">
      <c r="C98" s="716" t="s">
        <v>100</v>
      </c>
      <c r="V98" s="42"/>
      <c r="W98" s="807"/>
    </row>
    <row r="99" spans="3:23" s="716" customFormat="1" hidden="1" x14ac:dyDescent="0.3">
      <c r="C99" s="716" t="s">
        <v>102</v>
      </c>
      <c r="V99" s="42"/>
      <c r="W99" s="807"/>
    </row>
    <row r="100" spans="3:23" s="716" customFormat="1" hidden="1" x14ac:dyDescent="0.3">
      <c r="C100" s="716" t="s">
        <v>101</v>
      </c>
      <c r="V100" s="42"/>
      <c r="W100" s="807"/>
    </row>
    <row r="101" spans="3:23" s="716" customFormat="1" hidden="1" x14ac:dyDescent="0.3">
      <c r="C101" s="716" t="s">
        <v>23</v>
      </c>
      <c r="V101" s="42"/>
      <c r="W101" s="807"/>
    </row>
    <row r="102" spans="3:23" s="716" customFormat="1" hidden="1" x14ac:dyDescent="0.3">
      <c r="C102" s="716" t="s">
        <v>24</v>
      </c>
      <c r="V102" s="42"/>
      <c r="W102" s="807"/>
    </row>
    <row r="103" spans="3:23" s="716" customFormat="1" hidden="1" x14ac:dyDescent="0.3">
      <c r="C103" s="716" t="s">
        <v>9</v>
      </c>
      <c r="V103" s="42"/>
      <c r="W103" s="807"/>
    </row>
    <row r="104" spans="3:23" s="716" customFormat="1" hidden="1" x14ac:dyDescent="0.3">
      <c r="C104" s="716" t="s">
        <v>25</v>
      </c>
      <c r="V104" s="42"/>
      <c r="W104" s="807"/>
    </row>
    <row r="105" spans="3:23" s="716" customFormat="1" hidden="1" x14ac:dyDescent="0.3">
      <c r="C105" s="716" t="s">
        <v>26</v>
      </c>
      <c r="V105" s="42"/>
      <c r="W105" s="807"/>
    </row>
    <row r="106" spans="3:23" s="716" customFormat="1" hidden="1" x14ac:dyDescent="0.3">
      <c r="C106" s="716" t="s">
        <v>27</v>
      </c>
      <c r="V106" s="42"/>
      <c r="W106" s="807"/>
    </row>
    <row r="107" spans="3:23" s="716" customFormat="1" hidden="1" x14ac:dyDescent="0.3">
      <c r="V107" s="42"/>
      <c r="W107" s="807"/>
    </row>
    <row r="108" spans="3:23" s="716" customFormat="1" hidden="1" x14ac:dyDescent="0.3">
      <c r="V108" s="42"/>
      <c r="W108" s="807"/>
    </row>
    <row r="109" spans="3:23" s="716" customFormat="1" hidden="1" x14ac:dyDescent="0.3">
      <c r="V109" s="42"/>
      <c r="W109" s="807"/>
    </row>
    <row r="110" spans="3:23" s="716" customFormat="1" hidden="1" x14ac:dyDescent="0.3">
      <c r="V110" s="42"/>
      <c r="W110" s="807"/>
    </row>
    <row r="111" spans="3:23" s="716" customFormat="1" hidden="1" x14ac:dyDescent="0.3">
      <c r="V111" s="42"/>
      <c r="W111" s="807"/>
    </row>
    <row r="112" spans="3:23" s="716" customFormat="1" hidden="1" x14ac:dyDescent="0.3">
      <c r="V112" s="42"/>
      <c r="W112" s="807"/>
    </row>
    <row r="113" spans="22:26" s="716" customFormat="1" hidden="1" x14ac:dyDescent="0.3">
      <c r="V113" s="42"/>
      <c r="W113" s="807"/>
    </row>
    <row r="114" spans="22:26" s="716" customFormat="1" hidden="1" x14ac:dyDescent="0.3">
      <c r="V114" s="42"/>
      <c r="W114" s="807"/>
    </row>
    <row r="115" spans="22:26" s="716" customFormat="1" hidden="1" x14ac:dyDescent="0.3">
      <c r="V115" s="42"/>
      <c r="W115" s="807"/>
    </row>
    <row r="116" spans="22:26" s="716" customFormat="1" hidden="1" x14ac:dyDescent="0.3">
      <c r="V116" s="42"/>
      <c r="W116" s="807"/>
    </row>
    <row r="117" spans="22:26" s="716" customFormat="1" hidden="1" x14ac:dyDescent="0.3">
      <c r="V117" s="42"/>
      <c r="W117" s="807"/>
    </row>
    <row r="118" spans="22:26" s="716" customFormat="1" hidden="1" x14ac:dyDescent="0.3">
      <c r="V118" s="42"/>
      <c r="W118" s="807"/>
    </row>
    <row r="119" spans="22:26" s="716" customFormat="1" hidden="1" x14ac:dyDescent="0.3">
      <c r="V119" s="42"/>
      <c r="W119" s="807"/>
    </row>
    <row r="120" spans="22:26" s="716" customFormat="1" hidden="1" x14ac:dyDescent="0.3">
      <c r="V120" s="42"/>
      <c r="W120" s="807"/>
    </row>
    <row r="121" spans="22:26" s="716" customFormat="1" hidden="1" x14ac:dyDescent="0.3">
      <c r="V121" s="42"/>
      <c r="W121" s="807"/>
    </row>
    <row r="122" spans="22:26" s="716" customFormat="1" hidden="1" x14ac:dyDescent="0.3">
      <c r="V122" s="42"/>
      <c r="W122" s="807"/>
    </row>
    <row r="123" spans="22:26" s="716" customFormat="1" hidden="1" x14ac:dyDescent="0.3">
      <c r="V123" s="42"/>
      <c r="W123" s="807"/>
    </row>
    <row r="124" spans="22:26" s="716" customFormat="1" ht="43.2" x14ac:dyDescent="0.3">
      <c r="Y124" s="258" t="s">
        <v>684</v>
      </c>
      <c r="Z124" s="259" t="s">
        <v>669</v>
      </c>
    </row>
    <row r="125" spans="22:26" s="716" customFormat="1" x14ac:dyDescent="0.3">
      <c r="V125" s="13"/>
    </row>
    <row r="126" spans="22:26" s="716" customFormat="1" x14ac:dyDescent="0.3">
      <c r="V126" s="13"/>
    </row>
    <row r="127" spans="22:26" customFormat="1" x14ac:dyDescent="0.3"/>
    <row r="128" spans="22:26"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sheetData>
  <mergeCells count="40">
    <mergeCell ref="C22:D22"/>
    <mergeCell ref="D10:E10"/>
    <mergeCell ref="D9:E9"/>
    <mergeCell ref="C16:D16"/>
    <mergeCell ref="C17:D17"/>
    <mergeCell ref="C18:D18"/>
    <mergeCell ref="C19:D19"/>
    <mergeCell ref="C20:D20"/>
    <mergeCell ref="H13:J22"/>
    <mergeCell ref="D61:E61"/>
    <mergeCell ref="D62:E62"/>
    <mergeCell ref="C59:N59"/>
    <mergeCell ref="C36:N36"/>
    <mergeCell ref="C47:N47"/>
    <mergeCell ref="D50:E50"/>
    <mergeCell ref="D51:E51"/>
    <mergeCell ref="D39:E39"/>
    <mergeCell ref="G39:M40"/>
    <mergeCell ref="D40:E40"/>
    <mergeCell ref="G41:M42"/>
    <mergeCell ref="D42:E42"/>
    <mergeCell ref="C48:N48"/>
    <mergeCell ref="C37:N37"/>
    <mergeCell ref="C21:D21"/>
    <mergeCell ref="G70:K71"/>
    <mergeCell ref="C26:N26"/>
    <mergeCell ref="C27:N27"/>
    <mergeCell ref="C6:N6"/>
    <mergeCell ref="C7:N7"/>
    <mergeCell ref="C58:N58"/>
    <mergeCell ref="D29:E29"/>
    <mergeCell ref="D30:E30"/>
    <mergeCell ref="D32:E32"/>
    <mergeCell ref="G29:M30"/>
    <mergeCell ref="G31:M32"/>
    <mergeCell ref="H9:J12"/>
    <mergeCell ref="C12:D12"/>
    <mergeCell ref="C13:D13"/>
    <mergeCell ref="C14:D14"/>
    <mergeCell ref="C15:D15"/>
  </mergeCells>
  <hyperlinks>
    <hyperlink ref="G70:K71" location="'Enter your National Goal'!A1" tooltip="Next Step - Enter your national goal to generate brief" display="'Enter your National Goal'!A1" xr:uid="{259C577A-166F-4C61-943B-6F8D934D11CB}"/>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7"/>
    <pageSetUpPr autoPageBreaks="0"/>
  </sheetPr>
  <dimension ref="A2:AK65"/>
  <sheetViews>
    <sheetView showGridLines="0" topLeftCell="F23" zoomScaleNormal="100" workbookViewId="0">
      <selection activeCell="F34" sqref="E34:Y37"/>
    </sheetView>
  </sheetViews>
  <sheetFormatPr defaultRowHeight="14.4" x14ac:dyDescent="0.3"/>
  <cols>
    <col min="1" max="1" width="8.88671875" style="9"/>
    <col min="2" max="4" width="6.5546875" customWidth="1"/>
    <col min="5" max="6" width="26.5546875" customWidth="1"/>
    <col min="7" max="20" width="11.6640625" customWidth="1"/>
    <col min="21" max="25" width="11.6640625" style="9" customWidth="1"/>
    <col min="28" max="31" width="9.109375" customWidth="1"/>
  </cols>
  <sheetData>
    <row r="2" spans="1:36" ht="21" x14ac:dyDescent="0.4">
      <c r="C2" s="940" t="s">
        <v>732</v>
      </c>
      <c r="D2" s="941"/>
      <c r="E2" s="941"/>
      <c r="F2" s="941"/>
      <c r="G2" s="941"/>
      <c r="H2" s="941"/>
      <c r="I2" s="941"/>
      <c r="J2" s="941"/>
      <c r="K2" s="941"/>
      <c r="L2" s="941"/>
      <c r="M2" s="941"/>
      <c r="N2" s="941"/>
      <c r="O2" s="941"/>
      <c r="P2" s="941"/>
      <c r="Q2" s="941"/>
      <c r="R2" s="941"/>
      <c r="S2" s="941"/>
      <c r="T2" s="941"/>
      <c r="U2" s="941"/>
      <c r="V2" s="941"/>
      <c r="W2" s="941"/>
      <c r="X2" s="941"/>
      <c r="Y2" s="941"/>
      <c r="Z2" s="941"/>
    </row>
    <row r="4" spans="1:36" s="9" customFormat="1" hidden="1" x14ac:dyDescent="0.3">
      <c r="Z4" s="17" t="s">
        <v>108</v>
      </c>
      <c r="AA4"/>
      <c r="AB4" s="35" t="s">
        <v>130</v>
      </c>
      <c r="AC4" s="10"/>
    </row>
    <row r="5" spans="1:36" s="9" customFormat="1" ht="8.25" customHeight="1" thickBot="1" x14ac:dyDescent="0.35">
      <c r="H5" s="716"/>
      <c r="I5" s="716"/>
      <c r="J5" s="716"/>
      <c r="K5" s="716"/>
      <c r="L5" s="716"/>
      <c r="M5" s="716"/>
      <c r="N5" s="716"/>
      <c r="O5" s="716"/>
      <c r="P5" s="716"/>
      <c r="Q5" s="716"/>
      <c r="R5" s="716"/>
      <c r="S5" s="716"/>
      <c r="T5" s="716"/>
      <c r="U5" s="716"/>
      <c r="V5" s="716"/>
      <c r="W5" s="716"/>
      <c r="X5" s="716"/>
      <c r="Y5" s="716"/>
      <c r="Z5" s="17"/>
      <c r="AA5"/>
      <c r="AB5" s="35"/>
      <c r="AC5" s="10"/>
    </row>
    <row r="6" spans="1:36" s="9" customFormat="1" ht="16.2" thickBot="1" x14ac:dyDescent="0.35">
      <c r="D6" s="932" t="s">
        <v>733</v>
      </c>
      <c r="E6" s="932"/>
      <c r="F6" s="932"/>
      <c r="G6" s="932"/>
      <c r="H6" s="932"/>
      <c r="I6" s="932"/>
      <c r="J6" s="932"/>
      <c r="K6" s="932"/>
      <c r="L6" s="932"/>
      <c r="M6" s="932"/>
      <c r="N6" s="932"/>
      <c r="O6" s="932"/>
      <c r="P6" s="932"/>
      <c r="Q6" s="932"/>
      <c r="R6" s="932"/>
      <c r="S6" s="932"/>
      <c r="T6" s="932"/>
      <c r="U6" s="932"/>
      <c r="V6" s="932"/>
      <c r="W6" s="932"/>
      <c r="X6" s="932"/>
      <c r="Y6" s="932"/>
      <c r="Z6" s="933"/>
      <c r="AA6"/>
      <c r="AB6" s="48" t="s">
        <v>701</v>
      </c>
      <c r="AC6" s="28" t="s">
        <v>703</v>
      </c>
    </row>
    <row r="7" spans="1:36" s="9" customFormat="1" ht="14.25" customHeight="1" x14ac:dyDescent="0.3">
      <c r="G7" s="1">
        <v>2012</v>
      </c>
      <c r="H7" s="1">
        <v>2013</v>
      </c>
      <c r="I7" s="1">
        <v>2014</v>
      </c>
      <c r="J7" s="1">
        <v>2015</v>
      </c>
      <c r="K7" s="1">
        <v>2016</v>
      </c>
      <c r="L7" s="1">
        <v>2017</v>
      </c>
      <c r="M7" s="1">
        <v>2018</v>
      </c>
      <c r="N7" s="1">
        <v>2019</v>
      </c>
      <c r="O7" s="1">
        <v>2020</v>
      </c>
      <c r="P7" s="1">
        <v>2021</v>
      </c>
      <c r="Q7" s="1">
        <v>2022</v>
      </c>
      <c r="R7" s="1">
        <v>2023</v>
      </c>
      <c r="S7" s="1">
        <v>2024</v>
      </c>
      <c r="T7" s="1">
        <v>2025</v>
      </c>
      <c r="U7" s="1">
        <v>2026</v>
      </c>
      <c r="V7" s="1">
        <v>2027</v>
      </c>
      <c r="W7" s="1">
        <v>2028</v>
      </c>
      <c r="X7" s="1">
        <v>2029</v>
      </c>
      <c r="Y7" s="1">
        <v>2030</v>
      </c>
      <c r="AA7"/>
      <c r="AB7" s="361"/>
      <c r="AC7" s="35"/>
      <c r="AI7"/>
      <c r="AJ7"/>
    </row>
    <row r="8" spans="1:36" s="9" customFormat="1" ht="15.75" customHeight="1" x14ac:dyDescent="0.3">
      <c r="A8" s="9" t="str">
        <f>B8&amp;C8&amp;D8</f>
        <v>MWCP50</v>
      </c>
      <c r="B8" s="9" t="s">
        <v>511</v>
      </c>
      <c r="C8" s="631" t="s">
        <v>1015</v>
      </c>
      <c r="D8" s="9">
        <v>50</v>
      </c>
      <c r="E8" s="934" t="str">
        <f>IF(Language="English", AB8, AC8)</f>
        <v>CPR among married women</v>
      </c>
      <c r="F8" s="934"/>
      <c r="G8" s="372">
        <f>VLOOKUP($C8&amp;$B8&amp;$D8, 'Review FPET Inputs'!$H$37:$AG$87, MATCH('Indicator Calculations'!G$7, 'Review FPET Inputs'!$H$37:$AA$37, 0), FALSE)</f>
        <v>0</v>
      </c>
      <c r="H8" s="372">
        <f>VLOOKUP($C8&amp;$B8&amp;$D8, 'Review FPET Inputs'!$H$37:$AG$87, MATCH('Indicator Calculations'!H$7, 'Review FPET Inputs'!$H$37:$AA$37, 0), FALSE)</f>
        <v>0</v>
      </c>
      <c r="I8" s="372">
        <f>VLOOKUP($C8&amp;$B8&amp;$D8, 'Review FPET Inputs'!$H$37:$AG$87, MATCH('Indicator Calculations'!I$7, 'Review FPET Inputs'!$H$37:$AA$37, 0), FALSE)</f>
        <v>0</v>
      </c>
      <c r="J8" s="372">
        <f>VLOOKUP($C8&amp;$B8&amp;$D8, 'Review FPET Inputs'!$H$37:$AG$87, MATCH('Indicator Calculations'!J$7, 'Review FPET Inputs'!$H$37:$AA$37, 0), FALSE)</f>
        <v>0</v>
      </c>
      <c r="K8" s="372">
        <f>VLOOKUP($C8&amp;$B8&amp;$D8, 'Review FPET Inputs'!$H$37:$AG$87, MATCH('Indicator Calculations'!K$7, 'Review FPET Inputs'!$H$37:$AA$37, 0), FALSE)</f>
        <v>0</v>
      </c>
      <c r="L8" s="372">
        <f>VLOOKUP($C8&amp;$B8&amp;$D8, 'Review FPET Inputs'!$H$37:$AG$87, MATCH('Indicator Calculations'!L$7, 'Review FPET Inputs'!$H$37:$AA$37, 0), FALSE)</f>
        <v>0</v>
      </c>
      <c r="M8" s="372">
        <f>VLOOKUP($C8&amp;$B8&amp;$D8, 'Review FPET Inputs'!$H$37:$AG$87, MATCH('Indicator Calculations'!M$7, 'Review FPET Inputs'!$H$37:$AA$37, 0), FALSE)</f>
        <v>0</v>
      </c>
      <c r="N8" s="372">
        <f>VLOOKUP($C8&amp;$B8&amp;$D8, 'Review FPET Inputs'!$H$37:$AG$87, MATCH('Indicator Calculations'!N$7, 'Review FPET Inputs'!$H$37:$AA$37, 0), FALSE)</f>
        <v>0</v>
      </c>
      <c r="O8" s="372">
        <f>VLOOKUP($C8&amp;$B8&amp;$D8, 'Review FPET Inputs'!$H$37:$AG$87, MATCH('Indicator Calculations'!O$7, 'Review FPET Inputs'!$H$37:$AA$37, 0), FALSE)</f>
        <v>0</v>
      </c>
      <c r="P8" s="372">
        <f>VLOOKUP($C8&amp;$B8&amp;$D8, 'Review FPET Inputs'!$H$37:$AG$87, MATCH('Indicator Calculations'!P$7, 'Review FPET Inputs'!$H$37:$AA$37, 0), FALSE)</f>
        <v>0</v>
      </c>
      <c r="Q8" s="372">
        <f>VLOOKUP($C8&amp;$B8&amp;$D8, 'Review FPET Inputs'!$H$37:$AG$87, MATCH('Indicator Calculations'!Q$7, 'Review FPET Inputs'!$H$37:$AA$37, 0), FALSE)</f>
        <v>0</v>
      </c>
      <c r="R8" s="372">
        <f>VLOOKUP($C8&amp;$B8&amp;$D8, 'Review FPET Inputs'!$H$37:$AG$87, MATCH('Indicator Calculations'!R$7, 'Review FPET Inputs'!$H$37:$AA$37, 0), FALSE)</f>
        <v>0</v>
      </c>
      <c r="S8" s="372">
        <f>VLOOKUP($C8&amp;$B8&amp;$D8, 'Review FPET Inputs'!$H$37:$AG$87, MATCH('Indicator Calculations'!S$7, 'Review FPET Inputs'!$H$37:$AA$37, 0), FALSE)</f>
        <v>0</v>
      </c>
      <c r="T8" s="372">
        <f>VLOOKUP($C8&amp;$B8&amp;$D8, 'Review FPET Inputs'!$H$37:$AG$87, MATCH('Indicator Calculations'!T$7, 'Review FPET Inputs'!$H$37:$AA$37, 0), FALSE)</f>
        <v>0</v>
      </c>
      <c r="U8" s="372">
        <f>VLOOKUP($C8&amp;$B8&amp;$D8, 'Review FPET Inputs'!$H$37:$AG$87, MATCH('Indicator Calculations'!U$7, 'Review FPET Inputs'!$H$37:$AA$37, 0), FALSE)</f>
        <v>0</v>
      </c>
      <c r="V8" s="372">
        <f>VLOOKUP($C8&amp;$B8&amp;$D8, 'Review FPET Inputs'!$H$37:$AG$87, MATCH('Indicator Calculations'!V$7, 'Review FPET Inputs'!$H$37:$AA$37, 0), FALSE)</f>
        <v>0</v>
      </c>
      <c r="W8" s="372">
        <f>VLOOKUP($C8&amp;$B8&amp;$D8, 'Review FPET Inputs'!$H$37:$AG$87, MATCH('Indicator Calculations'!W$7, 'Review FPET Inputs'!$H$37:$AA$37, 0), FALSE)</f>
        <v>0</v>
      </c>
      <c r="X8" s="372">
        <f>VLOOKUP($C8&amp;$B8&amp;$D8, 'Review FPET Inputs'!$H$37:$AG$87, MATCH('Indicator Calculations'!X$7, 'Review FPET Inputs'!$H$37:$AA$37, 0), FALSE)</f>
        <v>0</v>
      </c>
      <c r="Y8" s="372">
        <f>VLOOKUP($C8&amp;$B8&amp;$D8, 'Review FPET Inputs'!$H$37:$AG$87, MATCH('Indicator Calculations'!Y$7, 'Review FPET Inputs'!$H$37:$AA$37, 0), FALSE)</f>
        <v>0</v>
      </c>
      <c r="AA8"/>
      <c r="AB8" s="361" t="s">
        <v>631</v>
      </c>
      <c r="AC8" s="232" t="s">
        <v>632</v>
      </c>
    </row>
    <row r="9" spans="1:36" s="44" customFormat="1" ht="15.75" customHeight="1" x14ac:dyDescent="0.3">
      <c r="A9" s="9" t="str">
        <f>B9&amp;C9&amp;D9</f>
        <v>MWmCP50</v>
      </c>
      <c r="B9" s="9" t="s">
        <v>511</v>
      </c>
      <c r="C9" s="631" t="s">
        <v>1014</v>
      </c>
      <c r="D9" s="9">
        <v>50</v>
      </c>
      <c r="E9" s="934" t="str">
        <f>IF(Language="English", AB9, AC9)</f>
        <v>mCPR among married women</v>
      </c>
      <c r="F9" s="934"/>
      <c r="G9" s="372">
        <f>VLOOKUP($C9&amp;$B9&amp;$D9, 'Review FPET Inputs'!$H$37:$AG$87, MATCH('Indicator Calculations'!G$7, 'Review FPET Inputs'!$H$37:$AA$37, 0), FALSE)</f>
        <v>0</v>
      </c>
      <c r="H9" s="372">
        <f>VLOOKUP($C9&amp;$B9&amp;$D9, 'Review FPET Inputs'!$H$37:$AG$87, MATCH('Indicator Calculations'!H$7, 'Review FPET Inputs'!$H$37:$AA$37, 0), FALSE)</f>
        <v>0</v>
      </c>
      <c r="I9" s="372">
        <f>VLOOKUP($C9&amp;$B9&amp;$D9, 'Review FPET Inputs'!$H$37:$AG$87, MATCH('Indicator Calculations'!I$7, 'Review FPET Inputs'!$H$37:$AA$37, 0), FALSE)</f>
        <v>0</v>
      </c>
      <c r="J9" s="372">
        <f>VLOOKUP($C9&amp;$B9&amp;$D9, 'Review FPET Inputs'!$H$37:$AG$87, MATCH('Indicator Calculations'!J$7, 'Review FPET Inputs'!$H$37:$AA$37, 0), FALSE)</f>
        <v>0</v>
      </c>
      <c r="K9" s="372">
        <f>VLOOKUP($C9&amp;$B9&amp;$D9, 'Review FPET Inputs'!$H$37:$AG$87, MATCH('Indicator Calculations'!K$7, 'Review FPET Inputs'!$H$37:$AA$37, 0), FALSE)</f>
        <v>0</v>
      </c>
      <c r="L9" s="372">
        <f>VLOOKUP($C9&amp;$B9&amp;$D9, 'Review FPET Inputs'!$H$37:$AG$87, MATCH('Indicator Calculations'!L$7, 'Review FPET Inputs'!$H$37:$AA$37, 0), FALSE)</f>
        <v>0</v>
      </c>
      <c r="M9" s="372">
        <f>VLOOKUP($C9&amp;$B9&amp;$D9, 'Review FPET Inputs'!$H$37:$AG$87, MATCH('Indicator Calculations'!M$7, 'Review FPET Inputs'!$H$37:$AA$37, 0), FALSE)</f>
        <v>0</v>
      </c>
      <c r="N9" s="372">
        <f>VLOOKUP($C9&amp;$B9&amp;$D9, 'Review FPET Inputs'!$H$37:$AG$87, MATCH('Indicator Calculations'!N$7, 'Review FPET Inputs'!$H$37:$AA$37, 0), FALSE)</f>
        <v>0</v>
      </c>
      <c r="O9" s="372">
        <f>VLOOKUP($C9&amp;$B9&amp;$D9, 'Review FPET Inputs'!$H$37:$AG$87, MATCH('Indicator Calculations'!O$7, 'Review FPET Inputs'!$H$37:$AA$37, 0), FALSE)</f>
        <v>0</v>
      </c>
      <c r="P9" s="372">
        <f>VLOOKUP($C9&amp;$B9&amp;$D9, 'Review FPET Inputs'!$H$37:$AG$87, MATCH('Indicator Calculations'!P$7, 'Review FPET Inputs'!$H$37:$AA$37, 0), FALSE)</f>
        <v>0</v>
      </c>
      <c r="Q9" s="372">
        <f>VLOOKUP($C9&amp;$B9&amp;$D9, 'Review FPET Inputs'!$H$37:$AG$87, MATCH('Indicator Calculations'!Q$7, 'Review FPET Inputs'!$H$37:$AA$37, 0), FALSE)</f>
        <v>0</v>
      </c>
      <c r="R9" s="372">
        <f>VLOOKUP($C9&amp;$B9&amp;$D9, 'Review FPET Inputs'!$H$37:$AG$87, MATCH('Indicator Calculations'!R$7, 'Review FPET Inputs'!$H$37:$AA$37, 0), FALSE)</f>
        <v>0</v>
      </c>
      <c r="S9" s="372">
        <f>VLOOKUP($C9&amp;$B9&amp;$D9, 'Review FPET Inputs'!$H$37:$AG$87, MATCH('Indicator Calculations'!S$7, 'Review FPET Inputs'!$H$37:$AA$37, 0), FALSE)</f>
        <v>0</v>
      </c>
      <c r="T9" s="372">
        <f>VLOOKUP($C9&amp;$B9&amp;$D9, 'Review FPET Inputs'!$H$37:$AG$87, MATCH('Indicator Calculations'!T$7, 'Review FPET Inputs'!$H$37:$AA$37, 0), FALSE)</f>
        <v>0</v>
      </c>
      <c r="U9" s="372">
        <f>VLOOKUP($C9&amp;$B9&amp;$D9, 'Review FPET Inputs'!$H$37:$AG$87, MATCH('Indicator Calculations'!U$7, 'Review FPET Inputs'!$H$37:$AA$37, 0), FALSE)</f>
        <v>0</v>
      </c>
      <c r="V9" s="372">
        <f>VLOOKUP($C9&amp;$B9&amp;$D9, 'Review FPET Inputs'!$H$37:$AG$87, MATCH('Indicator Calculations'!V$7, 'Review FPET Inputs'!$H$37:$AA$37, 0), FALSE)</f>
        <v>0</v>
      </c>
      <c r="W9" s="372">
        <f>VLOOKUP($C9&amp;$B9&amp;$D9, 'Review FPET Inputs'!$H$37:$AG$87, MATCH('Indicator Calculations'!W$7, 'Review FPET Inputs'!$H$37:$AA$37, 0), FALSE)</f>
        <v>0</v>
      </c>
      <c r="X9" s="372">
        <f>VLOOKUP($C9&amp;$B9&amp;$D9, 'Review FPET Inputs'!$H$37:$AG$87, MATCH('Indicator Calculations'!X$7, 'Review FPET Inputs'!$H$37:$AA$37, 0), FALSE)</f>
        <v>0</v>
      </c>
      <c r="Y9" s="372">
        <f>VLOOKUP($C9&amp;$B9&amp;$D9, 'Review FPET Inputs'!$H$37:$AG$87, MATCH('Indicator Calculations'!Y$7, 'Review FPET Inputs'!$H$37:$AA$37, 0), FALSE)</f>
        <v>0</v>
      </c>
      <c r="AA9"/>
      <c r="AB9" s="73" t="s">
        <v>113</v>
      </c>
      <c r="AC9" s="232" t="s">
        <v>114</v>
      </c>
    </row>
    <row r="10" spans="1:36" s="44" customFormat="1" ht="15.75" customHeight="1" x14ac:dyDescent="0.3">
      <c r="A10" s="9" t="str">
        <f>B10&amp;C10&amp;D10</f>
        <v>MWmDS50</v>
      </c>
      <c r="B10" s="9" t="s">
        <v>511</v>
      </c>
      <c r="C10" s="631" t="s">
        <v>1016</v>
      </c>
      <c r="D10" s="9">
        <v>50</v>
      </c>
      <c r="E10" s="934" t="str">
        <f>IF(Language="English", AB10, AC10)</f>
        <v>Demand Satisfied with modern methods (married)</v>
      </c>
      <c r="F10" s="934"/>
      <c r="G10" s="372">
        <f>VLOOKUP($C10&amp;$B10&amp;$D10, 'Review FPET Inputs'!$H$37:$AG$87, MATCH('Indicator Calculations'!G$7, 'Review FPET Inputs'!$H$37:$AA$37, 0), FALSE)</f>
        <v>0</v>
      </c>
      <c r="H10" s="372">
        <f>VLOOKUP($C10&amp;$B10&amp;$D10, 'Review FPET Inputs'!$H$37:$AG$87, MATCH('Indicator Calculations'!H$7, 'Review FPET Inputs'!$H$37:$AA$37, 0), FALSE)</f>
        <v>0</v>
      </c>
      <c r="I10" s="372">
        <f>VLOOKUP($C10&amp;$B10&amp;$D10, 'Review FPET Inputs'!$H$37:$AG$87, MATCH('Indicator Calculations'!I$7, 'Review FPET Inputs'!$H$37:$AA$37, 0), FALSE)</f>
        <v>0</v>
      </c>
      <c r="J10" s="372">
        <f>VLOOKUP($C10&amp;$B10&amp;$D10, 'Review FPET Inputs'!$H$37:$AG$87, MATCH('Indicator Calculations'!J$7, 'Review FPET Inputs'!$H$37:$AA$37, 0), FALSE)</f>
        <v>0</v>
      </c>
      <c r="K10" s="372">
        <f>VLOOKUP($C10&amp;$B10&amp;$D10, 'Review FPET Inputs'!$H$37:$AG$87, MATCH('Indicator Calculations'!K$7, 'Review FPET Inputs'!$H$37:$AA$37, 0), FALSE)</f>
        <v>0</v>
      </c>
      <c r="L10" s="372">
        <f>VLOOKUP($C10&amp;$B10&amp;$D10, 'Review FPET Inputs'!$H$37:$AG$87, MATCH('Indicator Calculations'!L$7, 'Review FPET Inputs'!$H$37:$AA$37, 0), FALSE)</f>
        <v>0</v>
      </c>
      <c r="M10" s="372">
        <f>VLOOKUP($C10&amp;$B10&amp;$D10, 'Review FPET Inputs'!$H$37:$AG$87, MATCH('Indicator Calculations'!M$7, 'Review FPET Inputs'!$H$37:$AA$37, 0), FALSE)</f>
        <v>0</v>
      </c>
      <c r="N10" s="372">
        <f>VLOOKUP($C10&amp;$B10&amp;$D10, 'Review FPET Inputs'!$H$37:$AG$87, MATCH('Indicator Calculations'!N$7, 'Review FPET Inputs'!$H$37:$AA$37, 0), FALSE)</f>
        <v>0</v>
      </c>
      <c r="O10" s="372">
        <f>VLOOKUP($C10&amp;$B10&amp;$D10, 'Review FPET Inputs'!$H$37:$AG$87, MATCH('Indicator Calculations'!O$7, 'Review FPET Inputs'!$H$37:$AA$37, 0), FALSE)</f>
        <v>0</v>
      </c>
      <c r="P10" s="372">
        <f>VLOOKUP($C10&amp;$B10&amp;$D10, 'Review FPET Inputs'!$H$37:$AG$87, MATCH('Indicator Calculations'!P$7, 'Review FPET Inputs'!$H$37:$AA$37, 0), FALSE)</f>
        <v>0</v>
      </c>
      <c r="Q10" s="372">
        <f>VLOOKUP($C10&amp;$B10&amp;$D10, 'Review FPET Inputs'!$H$37:$AG$87, MATCH('Indicator Calculations'!Q$7, 'Review FPET Inputs'!$H$37:$AA$37, 0), FALSE)</f>
        <v>0</v>
      </c>
      <c r="R10" s="372">
        <f>VLOOKUP($C10&amp;$B10&amp;$D10, 'Review FPET Inputs'!$H$37:$AG$87, MATCH('Indicator Calculations'!R$7, 'Review FPET Inputs'!$H$37:$AA$37, 0), FALSE)</f>
        <v>0</v>
      </c>
      <c r="S10" s="372">
        <f>VLOOKUP($C10&amp;$B10&amp;$D10, 'Review FPET Inputs'!$H$37:$AG$87, MATCH('Indicator Calculations'!S$7, 'Review FPET Inputs'!$H$37:$AA$37, 0), FALSE)</f>
        <v>0</v>
      </c>
      <c r="T10" s="372">
        <f>VLOOKUP($C10&amp;$B10&amp;$D10, 'Review FPET Inputs'!$H$37:$AG$87, MATCH('Indicator Calculations'!T$7, 'Review FPET Inputs'!$H$37:$AA$37, 0), FALSE)</f>
        <v>0</v>
      </c>
      <c r="U10" s="372">
        <f>VLOOKUP($C10&amp;$B10&amp;$D10, 'Review FPET Inputs'!$H$37:$AG$87, MATCH('Indicator Calculations'!U$7, 'Review FPET Inputs'!$H$37:$AA$37, 0), FALSE)</f>
        <v>0</v>
      </c>
      <c r="V10" s="372">
        <f>VLOOKUP($C10&amp;$B10&amp;$D10, 'Review FPET Inputs'!$H$37:$AG$87, MATCH('Indicator Calculations'!V$7, 'Review FPET Inputs'!$H$37:$AA$37, 0), FALSE)</f>
        <v>0</v>
      </c>
      <c r="W10" s="372">
        <f>VLOOKUP($C10&amp;$B10&amp;$D10, 'Review FPET Inputs'!$H$37:$AG$87, MATCH('Indicator Calculations'!W$7, 'Review FPET Inputs'!$H$37:$AA$37, 0), FALSE)</f>
        <v>0</v>
      </c>
      <c r="X10" s="372">
        <f>VLOOKUP($C10&amp;$B10&amp;$D10, 'Review FPET Inputs'!$H$37:$AG$87, MATCH('Indicator Calculations'!X$7, 'Review FPET Inputs'!$H$37:$AA$37, 0), FALSE)</f>
        <v>0</v>
      </c>
      <c r="Y10" s="372">
        <f>VLOOKUP($C10&amp;$B10&amp;$D10, 'Review FPET Inputs'!$H$37:$AG$87, MATCH('Indicator Calculations'!Y$7, 'Review FPET Inputs'!$H$37:$AA$37, 0), FALSE)</f>
        <v>0</v>
      </c>
      <c r="AA10"/>
      <c r="AB10" s="233" t="s">
        <v>702</v>
      </c>
      <c r="AC10" s="234" t="s">
        <v>133</v>
      </c>
    </row>
    <row r="11" spans="1:36" s="44" customFormat="1" ht="15.75" customHeight="1" thickBot="1" x14ac:dyDescent="0.35">
      <c r="A11" s="9" t="str">
        <f>B11&amp;C11&amp;D11</f>
        <v>MWmUN50</v>
      </c>
      <c r="B11" s="9" t="s">
        <v>511</v>
      </c>
      <c r="C11" s="631" t="s">
        <v>1017</v>
      </c>
      <c r="D11" s="9">
        <v>50</v>
      </c>
      <c r="E11" s="934" t="str">
        <f>IF(Language="English", AB11, AC11)</f>
        <v>Unmet need for modern methods (married)</v>
      </c>
      <c r="F11" s="934"/>
      <c r="G11" s="372">
        <f>VLOOKUP($C11&amp;$B11&amp;$D11, 'Review FPET Inputs'!$H$37:$AG$87, MATCH('Indicator Calculations'!G$7, 'Review FPET Inputs'!$H$37:$AA$37, 0), FALSE)</f>
        <v>0</v>
      </c>
      <c r="H11" s="372">
        <f>VLOOKUP($C11&amp;$B11&amp;$D11, 'Review FPET Inputs'!$H$37:$AG$87, MATCH('Indicator Calculations'!H$7, 'Review FPET Inputs'!$H$37:$AA$37, 0), FALSE)</f>
        <v>0</v>
      </c>
      <c r="I11" s="372">
        <f>VLOOKUP($C11&amp;$B11&amp;$D11, 'Review FPET Inputs'!$H$37:$AG$87, MATCH('Indicator Calculations'!I$7, 'Review FPET Inputs'!$H$37:$AA$37, 0), FALSE)</f>
        <v>0</v>
      </c>
      <c r="J11" s="372">
        <f>VLOOKUP($C11&amp;$B11&amp;$D11, 'Review FPET Inputs'!$H$37:$AG$87, MATCH('Indicator Calculations'!J$7, 'Review FPET Inputs'!$H$37:$AA$37, 0), FALSE)</f>
        <v>0</v>
      </c>
      <c r="K11" s="372">
        <f>VLOOKUP($C11&amp;$B11&amp;$D11, 'Review FPET Inputs'!$H$37:$AG$87, MATCH('Indicator Calculations'!K$7, 'Review FPET Inputs'!$H$37:$AA$37, 0), FALSE)</f>
        <v>0</v>
      </c>
      <c r="L11" s="372">
        <f>VLOOKUP($C11&amp;$B11&amp;$D11, 'Review FPET Inputs'!$H$37:$AG$87, MATCH('Indicator Calculations'!L$7, 'Review FPET Inputs'!$H$37:$AA$37, 0), FALSE)</f>
        <v>0</v>
      </c>
      <c r="M11" s="372">
        <f>VLOOKUP($C11&amp;$B11&amp;$D11, 'Review FPET Inputs'!$H$37:$AG$87, MATCH('Indicator Calculations'!M$7, 'Review FPET Inputs'!$H$37:$AA$37, 0), FALSE)</f>
        <v>0</v>
      </c>
      <c r="N11" s="372">
        <f>VLOOKUP($C11&amp;$B11&amp;$D11, 'Review FPET Inputs'!$H$37:$AG$87, MATCH('Indicator Calculations'!N$7, 'Review FPET Inputs'!$H$37:$AA$37, 0), FALSE)</f>
        <v>0</v>
      </c>
      <c r="O11" s="372">
        <f>VLOOKUP($C11&amp;$B11&amp;$D11, 'Review FPET Inputs'!$H$37:$AG$87, MATCH('Indicator Calculations'!O$7, 'Review FPET Inputs'!$H$37:$AA$37, 0), FALSE)</f>
        <v>0</v>
      </c>
      <c r="P11" s="372">
        <f>VLOOKUP($C11&amp;$B11&amp;$D11, 'Review FPET Inputs'!$H$37:$AG$87, MATCH('Indicator Calculations'!P$7, 'Review FPET Inputs'!$H$37:$AA$37, 0), FALSE)</f>
        <v>0</v>
      </c>
      <c r="Q11" s="372">
        <f>VLOOKUP($C11&amp;$B11&amp;$D11, 'Review FPET Inputs'!$H$37:$AG$87, MATCH('Indicator Calculations'!Q$7, 'Review FPET Inputs'!$H$37:$AA$37, 0), FALSE)</f>
        <v>0</v>
      </c>
      <c r="R11" s="372">
        <f>VLOOKUP($C11&amp;$B11&amp;$D11, 'Review FPET Inputs'!$H$37:$AG$87, MATCH('Indicator Calculations'!R$7, 'Review FPET Inputs'!$H$37:$AA$37, 0), FALSE)</f>
        <v>0</v>
      </c>
      <c r="S11" s="372">
        <f>VLOOKUP($C11&amp;$B11&amp;$D11, 'Review FPET Inputs'!$H$37:$AG$87, MATCH('Indicator Calculations'!S$7, 'Review FPET Inputs'!$H$37:$AA$37, 0), FALSE)</f>
        <v>0</v>
      </c>
      <c r="T11" s="372">
        <f>VLOOKUP($C11&amp;$B11&amp;$D11, 'Review FPET Inputs'!$H$37:$AG$87, MATCH('Indicator Calculations'!T$7, 'Review FPET Inputs'!$H$37:$AA$37, 0), FALSE)</f>
        <v>0</v>
      </c>
      <c r="U11" s="372">
        <f>VLOOKUP($C11&amp;$B11&amp;$D11, 'Review FPET Inputs'!$H$37:$AG$87, MATCH('Indicator Calculations'!U$7, 'Review FPET Inputs'!$H$37:$AA$37, 0), FALSE)</f>
        <v>0</v>
      </c>
      <c r="V11" s="372">
        <f>VLOOKUP($C11&amp;$B11&amp;$D11, 'Review FPET Inputs'!$H$37:$AG$87, MATCH('Indicator Calculations'!V$7, 'Review FPET Inputs'!$H$37:$AA$37, 0), FALSE)</f>
        <v>0</v>
      </c>
      <c r="W11" s="372">
        <f>VLOOKUP($C11&amp;$B11&amp;$D11, 'Review FPET Inputs'!$H$37:$AG$87, MATCH('Indicator Calculations'!W$7, 'Review FPET Inputs'!$H$37:$AA$37, 0), FALSE)</f>
        <v>0</v>
      </c>
      <c r="X11" s="372">
        <f>VLOOKUP($C11&amp;$B11&amp;$D11, 'Review FPET Inputs'!$H$37:$AG$87, MATCH('Indicator Calculations'!X$7, 'Review FPET Inputs'!$H$37:$AA$37, 0), FALSE)</f>
        <v>0</v>
      </c>
      <c r="Y11" s="372">
        <f>VLOOKUP($C11&amp;$B11&amp;$D11, 'Review FPET Inputs'!$H$37:$AG$87, MATCH('Indicator Calculations'!Y$7, 'Review FPET Inputs'!$H$37:$AA$37, 0), FALSE)</f>
        <v>0</v>
      </c>
      <c r="AA11"/>
      <c r="AB11" s="233" t="s">
        <v>132</v>
      </c>
      <c r="AC11" s="234" t="s">
        <v>133</v>
      </c>
    </row>
    <row r="12" spans="1:36" s="9" customFormat="1" ht="7.5" customHeight="1" thickBot="1" x14ac:dyDescent="0.35">
      <c r="AA12"/>
      <c r="AB12" s="48"/>
      <c r="AC12" s="28"/>
    </row>
    <row r="13" spans="1:36" s="9" customFormat="1" ht="16.2" thickBot="1" x14ac:dyDescent="0.35">
      <c r="D13" s="932" t="s">
        <v>1007</v>
      </c>
      <c r="E13" s="932"/>
      <c r="F13" s="932"/>
      <c r="G13" s="932"/>
      <c r="H13" s="932"/>
      <c r="I13" s="932"/>
      <c r="J13" s="932"/>
      <c r="K13" s="932"/>
      <c r="L13" s="932"/>
      <c r="M13" s="932"/>
      <c r="N13" s="932"/>
      <c r="O13" s="932"/>
      <c r="P13" s="932"/>
      <c r="Q13" s="932"/>
      <c r="R13" s="932"/>
      <c r="S13" s="932"/>
      <c r="T13" s="932"/>
      <c r="U13" s="932"/>
      <c r="V13" s="932"/>
      <c r="W13" s="932"/>
      <c r="X13" s="932"/>
      <c r="Y13" s="932"/>
      <c r="Z13" s="933"/>
      <c r="AB13" s="48" t="s">
        <v>710</v>
      </c>
      <c r="AC13" s="28" t="s">
        <v>711</v>
      </c>
    </row>
    <row r="14" spans="1:36" s="9" customFormat="1" x14ac:dyDescent="0.3">
      <c r="G14" s="1">
        <v>2012</v>
      </c>
      <c r="H14" s="1">
        <v>2013</v>
      </c>
      <c r="I14" s="1">
        <v>2014</v>
      </c>
      <c r="J14" s="1">
        <v>2015</v>
      </c>
      <c r="K14" s="1">
        <v>2016</v>
      </c>
      <c r="L14" s="1">
        <v>2017</v>
      </c>
      <c r="M14" s="1">
        <v>2018</v>
      </c>
      <c r="N14" s="1">
        <v>2019</v>
      </c>
      <c r="O14" s="1">
        <v>2020</v>
      </c>
      <c r="P14" s="1">
        <v>2021</v>
      </c>
      <c r="Q14" s="1">
        <v>2022</v>
      </c>
      <c r="R14" s="1">
        <v>2023</v>
      </c>
      <c r="S14" s="1">
        <v>2024</v>
      </c>
      <c r="T14" s="1">
        <v>2025</v>
      </c>
      <c r="U14" s="1">
        <v>2026</v>
      </c>
      <c r="V14" s="1">
        <v>2027</v>
      </c>
      <c r="W14" s="1">
        <v>2028</v>
      </c>
      <c r="X14" s="1">
        <v>2029</v>
      </c>
      <c r="Y14" s="1">
        <v>2030</v>
      </c>
      <c r="AB14" s="619"/>
      <c r="AC14" s="35"/>
    </row>
    <row r="15" spans="1:36" s="9" customFormat="1" ht="16.5" customHeight="1" x14ac:dyDescent="0.3">
      <c r="A15" s="9" t="str">
        <f>B15&amp;C15&amp;D15</f>
        <v>UMWCP50</v>
      </c>
      <c r="B15" s="9" t="s">
        <v>1018</v>
      </c>
      <c r="C15" s="631" t="s">
        <v>1015</v>
      </c>
      <c r="D15" s="9">
        <v>50</v>
      </c>
      <c r="E15" s="934" t="str">
        <f>IF(Language="English", AB15, AC15)</f>
        <v>CPR among unmarried women</v>
      </c>
      <c r="F15" s="934"/>
      <c r="G15" s="372">
        <f>VLOOKUP($C15&amp;$B15&amp;$D15, 'Review FPET Inputs'!$H$37:$AG$87, MATCH('Indicator Calculations'!G$7, 'Review FPET Inputs'!$H$37:$AA$37, 0), FALSE)</f>
        <v>0</v>
      </c>
      <c r="H15" s="372">
        <f>VLOOKUP($C15&amp;$B15&amp;$D15, 'Review FPET Inputs'!$H$37:$AG$87, MATCH('Indicator Calculations'!H$7, 'Review FPET Inputs'!$H$37:$AA$37, 0), FALSE)</f>
        <v>0</v>
      </c>
      <c r="I15" s="372">
        <f>VLOOKUP($C15&amp;$B15&amp;$D15, 'Review FPET Inputs'!$H$37:$AG$87, MATCH('Indicator Calculations'!I$7, 'Review FPET Inputs'!$H$37:$AA$37, 0), FALSE)</f>
        <v>0</v>
      </c>
      <c r="J15" s="372">
        <f>VLOOKUP($C15&amp;$B15&amp;$D15, 'Review FPET Inputs'!$H$37:$AG$87, MATCH('Indicator Calculations'!J$7, 'Review FPET Inputs'!$H$37:$AA$37, 0), FALSE)</f>
        <v>0</v>
      </c>
      <c r="K15" s="372">
        <f>VLOOKUP($C15&amp;$B15&amp;$D15, 'Review FPET Inputs'!$H$37:$AG$87, MATCH('Indicator Calculations'!K$7, 'Review FPET Inputs'!$H$37:$AA$37, 0), FALSE)</f>
        <v>0</v>
      </c>
      <c r="L15" s="372">
        <f>VLOOKUP($C15&amp;$B15&amp;$D15, 'Review FPET Inputs'!$H$37:$AG$87, MATCH('Indicator Calculations'!L$7, 'Review FPET Inputs'!$H$37:$AA$37, 0), FALSE)</f>
        <v>0</v>
      </c>
      <c r="M15" s="372">
        <f>VLOOKUP($C15&amp;$B15&amp;$D15, 'Review FPET Inputs'!$H$37:$AG$87, MATCH('Indicator Calculations'!M$7, 'Review FPET Inputs'!$H$37:$AA$37, 0), FALSE)</f>
        <v>0</v>
      </c>
      <c r="N15" s="372">
        <f>VLOOKUP($C15&amp;$B15&amp;$D15, 'Review FPET Inputs'!$H$37:$AG$87, MATCH('Indicator Calculations'!N$7, 'Review FPET Inputs'!$H$37:$AA$37, 0), FALSE)</f>
        <v>0</v>
      </c>
      <c r="O15" s="372">
        <f>VLOOKUP($C15&amp;$B15&amp;$D15, 'Review FPET Inputs'!$H$37:$AG$87, MATCH('Indicator Calculations'!O$7, 'Review FPET Inputs'!$H$37:$AA$37, 0), FALSE)</f>
        <v>0</v>
      </c>
      <c r="P15" s="372">
        <f>VLOOKUP($C15&amp;$B15&amp;$D15, 'Review FPET Inputs'!$H$37:$AG$87, MATCH('Indicator Calculations'!P$7, 'Review FPET Inputs'!$H$37:$AA$37, 0), FALSE)</f>
        <v>0</v>
      </c>
      <c r="Q15" s="372">
        <f>VLOOKUP($C15&amp;$B15&amp;$D15, 'Review FPET Inputs'!$H$37:$AG$87, MATCH('Indicator Calculations'!Q$7, 'Review FPET Inputs'!$H$37:$AA$37, 0), FALSE)</f>
        <v>0</v>
      </c>
      <c r="R15" s="372">
        <f>VLOOKUP($C15&amp;$B15&amp;$D15, 'Review FPET Inputs'!$H$37:$AG$87, MATCH('Indicator Calculations'!R$7, 'Review FPET Inputs'!$H$37:$AA$37, 0), FALSE)</f>
        <v>0</v>
      </c>
      <c r="S15" s="372">
        <f>VLOOKUP($C15&amp;$B15&amp;$D15, 'Review FPET Inputs'!$H$37:$AG$87, MATCH('Indicator Calculations'!S$7, 'Review FPET Inputs'!$H$37:$AA$37, 0), FALSE)</f>
        <v>0</v>
      </c>
      <c r="T15" s="372">
        <f>VLOOKUP($C15&amp;$B15&amp;$D15, 'Review FPET Inputs'!$H$37:$AG$87, MATCH('Indicator Calculations'!T$7, 'Review FPET Inputs'!$H$37:$AA$37, 0), FALSE)</f>
        <v>0</v>
      </c>
      <c r="U15" s="372">
        <f>VLOOKUP($C15&amp;$B15&amp;$D15, 'Review FPET Inputs'!$H$37:$AG$87, MATCH('Indicator Calculations'!U$7, 'Review FPET Inputs'!$H$37:$AA$37, 0), FALSE)</f>
        <v>0</v>
      </c>
      <c r="V15" s="372">
        <f>VLOOKUP($C15&amp;$B15&amp;$D15, 'Review FPET Inputs'!$H$37:$AG$87, MATCH('Indicator Calculations'!V$7, 'Review FPET Inputs'!$H$37:$AA$37, 0), FALSE)</f>
        <v>0</v>
      </c>
      <c r="W15" s="372">
        <f>VLOOKUP($C15&amp;$B15&amp;$D15, 'Review FPET Inputs'!$H$37:$AG$87, MATCH('Indicator Calculations'!W$7, 'Review FPET Inputs'!$H$37:$AA$37, 0), FALSE)</f>
        <v>0</v>
      </c>
      <c r="X15" s="372">
        <f>VLOOKUP($C15&amp;$B15&amp;$D15, 'Review FPET Inputs'!$H$37:$AG$87, MATCH('Indicator Calculations'!X$7, 'Review FPET Inputs'!$H$37:$AA$37, 0), FALSE)</f>
        <v>0</v>
      </c>
      <c r="Y15" s="372">
        <f>VLOOKUP($C15&amp;$B15&amp;$D15, 'Review FPET Inputs'!$H$37:$AG$87, MATCH('Indicator Calculations'!Y$7, 'Review FPET Inputs'!$H$37:$AA$37, 0), FALSE)</f>
        <v>0</v>
      </c>
      <c r="AB15" s="619" t="s">
        <v>987</v>
      </c>
      <c r="AC15" s="232" t="s">
        <v>988</v>
      </c>
      <c r="AI15" s="233" t="s">
        <v>993</v>
      </c>
      <c r="AJ15" s="234" t="s">
        <v>994</v>
      </c>
    </row>
    <row r="16" spans="1:36" s="44" customFormat="1" ht="16.5" customHeight="1" x14ac:dyDescent="0.3">
      <c r="A16" s="9" t="str">
        <f>B16&amp;C16&amp;D16</f>
        <v>UMWmCP50</v>
      </c>
      <c r="B16" s="9" t="s">
        <v>1018</v>
      </c>
      <c r="C16" s="631" t="s">
        <v>1014</v>
      </c>
      <c r="D16" s="9">
        <v>50</v>
      </c>
      <c r="E16" s="934" t="str">
        <f>IF(Language="English", AB16, AC16)</f>
        <v>mCPR among unmarried women</v>
      </c>
      <c r="F16" s="934"/>
      <c r="G16" s="372">
        <f>VLOOKUP($C16&amp;$B16&amp;$D16, 'Review FPET Inputs'!$H$37:$AG$87, MATCH('Indicator Calculations'!G$7, 'Review FPET Inputs'!$H$37:$AA$37, 0), FALSE)</f>
        <v>0</v>
      </c>
      <c r="H16" s="372">
        <f>VLOOKUP($C16&amp;$B16&amp;$D16, 'Review FPET Inputs'!$H$37:$AG$87, MATCH('Indicator Calculations'!H$7, 'Review FPET Inputs'!$H$37:$AA$37, 0), FALSE)</f>
        <v>0</v>
      </c>
      <c r="I16" s="372">
        <f>VLOOKUP($C16&amp;$B16&amp;$D16, 'Review FPET Inputs'!$H$37:$AG$87, MATCH('Indicator Calculations'!I$7, 'Review FPET Inputs'!$H$37:$AA$37, 0), FALSE)</f>
        <v>0</v>
      </c>
      <c r="J16" s="372">
        <f>VLOOKUP($C16&amp;$B16&amp;$D16, 'Review FPET Inputs'!$H$37:$AG$87, MATCH('Indicator Calculations'!J$7, 'Review FPET Inputs'!$H$37:$AA$37, 0), FALSE)</f>
        <v>0</v>
      </c>
      <c r="K16" s="372">
        <f>VLOOKUP($C16&amp;$B16&amp;$D16, 'Review FPET Inputs'!$H$37:$AG$87, MATCH('Indicator Calculations'!K$7, 'Review FPET Inputs'!$H$37:$AA$37, 0), FALSE)</f>
        <v>0</v>
      </c>
      <c r="L16" s="372">
        <f>VLOOKUP($C16&amp;$B16&amp;$D16, 'Review FPET Inputs'!$H$37:$AG$87, MATCH('Indicator Calculations'!L$7, 'Review FPET Inputs'!$H$37:$AA$37, 0), FALSE)</f>
        <v>0</v>
      </c>
      <c r="M16" s="372">
        <f>VLOOKUP($C16&amp;$B16&amp;$D16, 'Review FPET Inputs'!$H$37:$AG$87, MATCH('Indicator Calculations'!M$7, 'Review FPET Inputs'!$H$37:$AA$37, 0), FALSE)</f>
        <v>0</v>
      </c>
      <c r="N16" s="372">
        <f>VLOOKUP($C16&amp;$B16&amp;$D16, 'Review FPET Inputs'!$H$37:$AG$87, MATCH('Indicator Calculations'!N$7, 'Review FPET Inputs'!$H$37:$AA$37, 0), FALSE)</f>
        <v>0</v>
      </c>
      <c r="O16" s="372">
        <f>VLOOKUP($C16&amp;$B16&amp;$D16, 'Review FPET Inputs'!$H$37:$AG$87, MATCH('Indicator Calculations'!O$7, 'Review FPET Inputs'!$H$37:$AA$37, 0), FALSE)</f>
        <v>0</v>
      </c>
      <c r="P16" s="372">
        <f>VLOOKUP($C16&amp;$B16&amp;$D16, 'Review FPET Inputs'!$H$37:$AG$87, MATCH('Indicator Calculations'!P$7, 'Review FPET Inputs'!$H$37:$AA$37, 0), FALSE)</f>
        <v>0</v>
      </c>
      <c r="Q16" s="372">
        <f>VLOOKUP($C16&amp;$B16&amp;$D16, 'Review FPET Inputs'!$H$37:$AG$87, MATCH('Indicator Calculations'!Q$7, 'Review FPET Inputs'!$H$37:$AA$37, 0), FALSE)</f>
        <v>0</v>
      </c>
      <c r="R16" s="372">
        <f>VLOOKUP($C16&amp;$B16&amp;$D16, 'Review FPET Inputs'!$H$37:$AG$87, MATCH('Indicator Calculations'!R$7, 'Review FPET Inputs'!$H$37:$AA$37, 0), FALSE)</f>
        <v>0</v>
      </c>
      <c r="S16" s="372">
        <f>VLOOKUP($C16&amp;$B16&amp;$D16, 'Review FPET Inputs'!$H$37:$AG$87, MATCH('Indicator Calculations'!S$7, 'Review FPET Inputs'!$H$37:$AA$37, 0), FALSE)</f>
        <v>0</v>
      </c>
      <c r="T16" s="372">
        <f>VLOOKUP($C16&amp;$B16&amp;$D16, 'Review FPET Inputs'!$H$37:$AG$87, MATCH('Indicator Calculations'!T$7, 'Review FPET Inputs'!$H$37:$AA$37, 0), FALSE)</f>
        <v>0</v>
      </c>
      <c r="U16" s="372">
        <f>VLOOKUP($C16&amp;$B16&amp;$D16, 'Review FPET Inputs'!$H$37:$AG$87, MATCH('Indicator Calculations'!U$7, 'Review FPET Inputs'!$H$37:$AA$37, 0), FALSE)</f>
        <v>0</v>
      </c>
      <c r="V16" s="372">
        <f>VLOOKUP($C16&amp;$B16&amp;$D16, 'Review FPET Inputs'!$H$37:$AG$87, MATCH('Indicator Calculations'!V$7, 'Review FPET Inputs'!$H$37:$AA$37, 0), FALSE)</f>
        <v>0</v>
      </c>
      <c r="W16" s="372">
        <f>VLOOKUP($C16&amp;$B16&amp;$D16, 'Review FPET Inputs'!$H$37:$AG$87, MATCH('Indicator Calculations'!W$7, 'Review FPET Inputs'!$H$37:$AA$37, 0), FALSE)</f>
        <v>0</v>
      </c>
      <c r="X16" s="372">
        <f>VLOOKUP($C16&amp;$B16&amp;$D16, 'Review FPET Inputs'!$H$37:$AG$87, MATCH('Indicator Calculations'!X$7, 'Review FPET Inputs'!$H$37:$AA$37, 0), FALSE)</f>
        <v>0</v>
      </c>
      <c r="Y16" s="372">
        <f>VLOOKUP($C16&amp;$B16&amp;$D16, 'Review FPET Inputs'!$H$37:$AG$87, MATCH('Indicator Calculations'!Y$7, 'Review FPET Inputs'!$H$37:$AA$37, 0), FALSE)</f>
        <v>0</v>
      </c>
      <c r="AA16" s="9"/>
      <c r="AB16" s="73" t="s">
        <v>989</v>
      </c>
      <c r="AC16" s="232" t="s">
        <v>990</v>
      </c>
    </row>
    <row r="17" spans="1:37" s="44" customFormat="1" ht="16.5" customHeight="1" x14ac:dyDescent="0.3">
      <c r="A17" s="9" t="str">
        <f>B17&amp;C17&amp;D17</f>
        <v>UMWmDS50</v>
      </c>
      <c r="B17" s="9" t="s">
        <v>1018</v>
      </c>
      <c r="C17" s="631" t="s">
        <v>1016</v>
      </c>
      <c r="D17" s="9">
        <v>50</v>
      </c>
      <c r="E17" s="934" t="str">
        <f>IF(Language="English", AB17, AC17)</f>
        <v>Demand Satisfied with modern methods (unmarried)</v>
      </c>
      <c r="F17" s="934"/>
      <c r="G17" s="372">
        <f>VLOOKUP($C17&amp;$B17&amp;$D17, 'Review FPET Inputs'!$H$37:$AG$87, MATCH('Indicator Calculations'!G$7, 'Review FPET Inputs'!$H$37:$AA$37, 0), FALSE)</f>
        <v>0</v>
      </c>
      <c r="H17" s="372">
        <f>VLOOKUP($C17&amp;$B17&amp;$D17, 'Review FPET Inputs'!$H$37:$AG$87, MATCH('Indicator Calculations'!H$7, 'Review FPET Inputs'!$H$37:$AA$37, 0), FALSE)</f>
        <v>0</v>
      </c>
      <c r="I17" s="372">
        <f>VLOOKUP($C17&amp;$B17&amp;$D17, 'Review FPET Inputs'!$H$37:$AG$87, MATCH('Indicator Calculations'!I$7, 'Review FPET Inputs'!$H$37:$AA$37, 0), FALSE)</f>
        <v>0</v>
      </c>
      <c r="J17" s="372">
        <f>VLOOKUP($C17&amp;$B17&amp;$D17, 'Review FPET Inputs'!$H$37:$AG$87, MATCH('Indicator Calculations'!J$7, 'Review FPET Inputs'!$H$37:$AA$37, 0), FALSE)</f>
        <v>0</v>
      </c>
      <c r="K17" s="372">
        <f>VLOOKUP($C17&amp;$B17&amp;$D17, 'Review FPET Inputs'!$H$37:$AG$87, MATCH('Indicator Calculations'!K$7, 'Review FPET Inputs'!$H$37:$AA$37, 0), FALSE)</f>
        <v>0</v>
      </c>
      <c r="L17" s="372">
        <f>VLOOKUP($C17&amp;$B17&amp;$D17, 'Review FPET Inputs'!$H$37:$AG$87, MATCH('Indicator Calculations'!L$7, 'Review FPET Inputs'!$H$37:$AA$37, 0), FALSE)</f>
        <v>0</v>
      </c>
      <c r="M17" s="372">
        <f>VLOOKUP($C17&amp;$B17&amp;$D17, 'Review FPET Inputs'!$H$37:$AG$87, MATCH('Indicator Calculations'!M$7, 'Review FPET Inputs'!$H$37:$AA$37, 0), FALSE)</f>
        <v>0</v>
      </c>
      <c r="N17" s="372">
        <f>VLOOKUP($C17&amp;$B17&amp;$D17, 'Review FPET Inputs'!$H$37:$AG$87, MATCH('Indicator Calculations'!N$7, 'Review FPET Inputs'!$H$37:$AA$37, 0), FALSE)</f>
        <v>0</v>
      </c>
      <c r="O17" s="372">
        <f>VLOOKUP($C17&amp;$B17&amp;$D17, 'Review FPET Inputs'!$H$37:$AG$87, MATCH('Indicator Calculations'!O$7, 'Review FPET Inputs'!$H$37:$AA$37, 0), FALSE)</f>
        <v>0</v>
      </c>
      <c r="P17" s="372">
        <f>VLOOKUP($C17&amp;$B17&amp;$D17, 'Review FPET Inputs'!$H$37:$AG$87, MATCH('Indicator Calculations'!P$7, 'Review FPET Inputs'!$H$37:$AA$37, 0), FALSE)</f>
        <v>0</v>
      </c>
      <c r="Q17" s="372">
        <f>VLOOKUP($C17&amp;$B17&amp;$D17, 'Review FPET Inputs'!$H$37:$AG$87, MATCH('Indicator Calculations'!Q$7, 'Review FPET Inputs'!$H$37:$AA$37, 0), FALSE)</f>
        <v>0</v>
      </c>
      <c r="R17" s="372">
        <f>VLOOKUP($C17&amp;$B17&amp;$D17, 'Review FPET Inputs'!$H$37:$AG$87, MATCH('Indicator Calculations'!R$7, 'Review FPET Inputs'!$H$37:$AA$37, 0), FALSE)</f>
        <v>0</v>
      </c>
      <c r="S17" s="372">
        <f>VLOOKUP($C17&amp;$B17&amp;$D17, 'Review FPET Inputs'!$H$37:$AG$87, MATCH('Indicator Calculations'!S$7, 'Review FPET Inputs'!$H$37:$AA$37, 0), FALSE)</f>
        <v>0</v>
      </c>
      <c r="T17" s="372">
        <f>VLOOKUP($C17&amp;$B17&amp;$D17, 'Review FPET Inputs'!$H$37:$AG$87, MATCH('Indicator Calculations'!T$7, 'Review FPET Inputs'!$H$37:$AA$37, 0), FALSE)</f>
        <v>0</v>
      </c>
      <c r="U17" s="372">
        <f>VLOOKUP($C17&amp;$B17&amp;$D17, 'Review FPET Inputs'!$H$37:$AG$87, MATCH('Indicator Calculations'!U$7, 'Review FPET Inputs'!$H$37:$AA$37, 0), FALSE)</f>
        <v>0</v>
      </c>
      <c r="V17" s="372">
        <f>VLOOKUP($C17&amp;$B17&amp;$D17, 'Review FPET Inputs'!$H$37:$AG$87, MATCH('Indicator Calculations'!V$7, 'Review FPET Inputs'!$H$37:$AA$37, 0), FALSE)</f>
        <v>0</v>
      </c>
      <c r="W17" s="372">
        <f>VLOOKUP($C17&amp;$B17&amp;$D17, 'Review FPET Inputs'!$H$37:$AG$87, MATCH('Indicator Calculations'!W$7, 'Review FPET Inputs'!$H$37:$AA$37, 0), FALSE)</f>
        <v>0</v>
      </c>
      <c r="X17" s="372">
        <f>VLOOKUP($C17&amp;$B17&amp;$D17, 'Review FPET Inputs'!$H$37:$AG$87, MATCH('Indicator Calculations'!X$7, 'Review FPET Inputs'!$H$37:$AA$37, 0), FALSE)</f>
        <v>0</v>
      </c>
      <c r="Y17" s="372">
        <f>VLOOKUP($C17&amp;$B17&amp;$D17, 'Review FPET Inputs'!$H$37:$AG$87, MATCH('Indicator Calculations'!Y$7, 'Review FPET Inputs'!$H$37:$AA$37, 0), FALSE)</f>
        <v>0</v>
      </c>
      <c r="AA17" s="9"/>
      <c r="AB17" s="233" t="s">
        <v>993</v>
      </c>
      <c r="AC17" s="234" t="s">
        <v>994</v>
      </c>
    </row>
    <row r="18" spans="1:37" s="44" customFormat="1" ht="16.5" customHeight="1" x14ac:dyDescent="0.3">
      <c r="A18" s="9" t="str">
        <f>B18&amp;C18&amp;D18</f>
        <v>UMWmUN50</v>
      </c>
      <c r="B18" s="9" t="s">
        <v>1018</v>
      </c>
      <c r="C18" s="631" t="s">
        <v>1017</v>
      </c>
      <c r="D18" s="9">
        <v>50</v>
      </c>
      <c r="E18" s="934" t="str">
        <f>IF(Language="English", AB18, AC18)</f>
        <v>Unmet need for modern methods (unmarried)</v>
      </c>
      <c r="F18" s="934"/>
      <c r="G18" s="372">
        <f>VLOOKUP($C18&amp;$B18&amp;$D18, 'Review FPET Inputs'!$H$37:$AG$87, MATCH('Indicator Calculations'!G$7, 'Review FPET Inputs'!$H$37:$AA$37, 0), FALSE)</f>
        <v>0</v>
      </c>
      <c r="H18" s="372">
        <f>VLOOKUP($C18&amp;$B18&amp;$D18, 'Review FPET Inputs'!$H$37:$AG$87, MATCH('Indicator Calculations'!H$7, 'Review FPET Inputs'!$H$37:$AA$37, 0), FALSE)</f>
        <v>0</v>
      </c>
      <c r="I18" s="372">
        <f>VLOOKUP($C18&amp;$B18&amp;$D18, 'Review FPET Inputs'!$H$37:$AG$87, MATCH('Indicator Calculations'!I$7, 'Review FPET Inputs'!$H$37:$AA$37, 0), FALSE)</f>
        <v>0</v>
      </c>
      <c r="J18" s="372">
        <f>VLOOKUP($C18&amp;$B18&amp;$D18, 'Review FPET Inputs'!$H$37:$AG$87, MATCH('Indicator Calculations'!J$7, 'Review FPET Inputs'!$H$37:$AA$37, 0), FALSE)</f>
        <v>0</v>
      </c>
      <c r="K18" s="372">
        <f>VLOOKUP($C18&amp;$B18&amp;$D18, 'Review FPET Inputs'!$H$37:$AG$87, MATCH('Indicator Calculations'!K$7, 'Review FPET Inputs'!$H$37:$AA$37, 0), FALSE)</f>
        <v>0</v>
      </c>
      <c r="L18" s="372">
        <f>VLOOKUP($C18&amp;$B18&amp;$D18, 'Review FPET Inputs'!$H$37:$AG$87, MATCH('Indicator Calculations'!L$7, 'Review FPET Inputs'!$H$37:$AA$37, 0), FALSE)</f>
        <v>0</v>
      </c>
      <c r="M18" s="372">
        <f>VLOOKUP($C18&amp;$B18&amp;$D18, 'Review FPET Inputs'!$H$37:$AG$87, MATCH('Indicator Calculations'!M$7, 'Review FPET Inputs'!$H$37:$AA$37, 0), FALSE)</f>
        <v>0</v>
      </c>
      <c r="N18" s="372">
        <f>VLOOKUP($C18&amp;$B18&amp;$D18, 'Review FPET Inputs'!$H$37:$AG$87, MATCH('Indicator Calculations'!N$7, 'Review FPET Inputs'!$H$37:$AA$37, 0), FALSE)</f>
        <v>0</v>
      </c>
      <c r="O18" s="372">
        <f>VLOOKUP($C18&amp;$B18&amp;$D18, 'Review FPET Inputs'!$H$37:$AG$87, MATCH('Indicator Calculations'!O$7, 'Review FPET Inputs'!$H$37:$AA$37, 0), FALSE)</f>
        <v>0</v>
      </c>
      <c r="P18" s="372">
        <f>VLOOKUP($C18&amp;$B18&amp;$D18, 'Review FPET Inputs'!$H$37:$AG$87, MATCH('Indicator Calculations'!P$7, 'Review FPET Inputs'!$H$37:$AA$37, 0), FALSE)</f>
        <v>0</v>
      </c>
      <c r="Q18" s="372">
        <f>VLOOKUP($C18&amp;$B18&amp;$D18, 'Review FPET Inputs'!$H$37:$AG$87, MATCH('Indicator Calculations'!Q$7, 'Review FPET Inputs'!$H$37:$AA$37, 0), FALSE)</f>
        <v>0</v>
      </c>
      <c r="R18" s="372">
        <f>VLOOKUP($C18&amp;$B18&amp;$D18, 'Review FPET Inputs'!$H$37:$AG$87, MATCH('Indicator Calculations'!R$7, 'Review FPET Inputs'!$H$37:$AA$37, 0), FALSE)</f>
        <v>0</v>
      </c>
      <c r="S18" s="372">
        <f>VLOOKUP($C18&amp;$B18&amp;$D18, 'Review FPET Inputs'!$H$37:$AG$87, MATCH('Indicator Calculations'!S$7, 'Review FPET Inputs'!$H$37:$AA$37, 0), FALSE)</f>
        <v>0</v>
      </c>
      <c r="T18" s="372">
        <f>VLOOKUP($C18&amp;$B18&amp;$D18, 'Review FPET Inputs'!$H$37:$AG$87, MATCH('Indicator Calculations'!T$7, 'Review FPET Inputs'!$H$37:$AA$37, 0), FALSE)</f>
        <v>0</v>
      </c>
      <c r="U18" s="372">
        <f>VLOOKUP($C18&amp;$B18&amp;$D18, 'Review FPET Inputs'!$H$37:$AG$87, MATCH('Indicator Calculations'!U$7, 'Review FPET Inputs'!$H$37:$AA$37, 0), FALSE)</f>
        <v>0</v>
      </c>
      <c r="V18" s="372">
        <f>VLOOKUP($C18&amp;$B18&amp;$D18, 'Review FPET Inputs'!$H$37:$AG$87, MATCH('Indicator Calculations'!V$7, 'Review FPET Inputs'!$H$37:$AA$37, 0), FALSE)</f>
        <v>0</v>
      </c>
      <c r="W18" s="372">
        <f>VLOOKUP($C18&amp;$B18&amp;$D18, 'Review FPET Inputs'!$H$37:$AG$87, MATCH('Indicator Calculations'!W$7, 'Review FPET Inputs'!$H$37:$AA$37, 0), FALSE)</f>
        <v>0</v>
      </c>
      <c r="X18" s="372">
        <f>VLOOKUP($C18&amp;$B18&amp;$D18, 'Review FPET Inputs'!$H$37:$AG$87, MATCH('Indicator Calculations'!X$7, 'Review FPET Inputs'!$H$37:$AA$37, 0), FALSE)</f>
        <v>0</v>
      </c>
      <c r="Y18" s="372">
        <f>VLOOKUP($C18&amp;$B18&amp;$D18, 'Review FPET Inputs'!$H$37:$AG$87, MATCH('Indicator Calculations'!Y$7, 'Review FPET Inputs'!$H$37:$AA$37, 0), FALSE)</f>
        <v>0</v>
      </c>
      <c r="AA18" s="9"/>
      <c r="AB18" s="233" t="s">
        <v>992</v>
      </c>
      <c r="AC18" s="234" t="s">
        <v>991</v>
      </c>
    </row>
    <row r="19" spans="1:37" s="9" customFormat="1" ht="15" thickBot="1" x14ac:dyDescent="0.35"/>
    <row r="20" spans="1:37" s="9" customFormat="1" ht="16.2" thickBot="1" x14ac:dyDescent="0.35">
      <c r="D20" s="932" t="s">
        <v>734</v>
      </c>
      <c r="E20" s="932"/>
      <c r="F20" s="932"/>
      <c r="G20" s="932"/>
      <c r="H20" s="932"/>
      <c r="I20" s="932"/>
      <c r="J20" s="932"/>
      <c r="K20" s="932"/>
      <c r="L20" s="932"/>
      <c r="M20" s="932"/>
      <c r="N20" s="932"/>
      <c r="O20" s="932"/>
      <c r="P20" s="932"/>
      <c r="Q20" s="932"/>
      <c r="R20" s="932"/>
      <c r="S20" s="932"/>
      <c r="T20" s="932"/>
      <c r="U20" s="932"/>
      <c r="V20" s="932"/>
      <c r="W20" s="932"/>
      <c r="X20" s="932"/>
      <c r="Y20" s="932"/>
      <c r="Z20" s="933"/>
      <c r="AA20"/>
      <c r="AB20" s="48" t="s">
        <v>710</v>
      </c>
      <c r="AC20" s="28" t="s">
        <v>711</v>
      </c>
    </row>
    <row r="21" spans="1:37" s="9" customFormat="1" x14ac:dyDescent="0.3">
      <c r="G21" s="1">
        <v>2012</v>
      </c>
      <c r="H21" s="1">
        <v>2013</v>
      </c>
      <c r="I21" s="1">
        <v>2014</v>
      </c>
      <c r="J21" s="1">
        <v>2015</v>
      </c>
      <c r="K21" s="1">
        <v>2016</v>
      </c>
      <c r="L21" s="1">
        <v>2017</v>
      </c>
      <c r="M21" s="1">
        <v>2018</v>
      </c>
      <c r="N21" s="1">
        <v>2019</v>
      </c>
      <c r="O21" s="1">
        <v>2020</v>
      </c>
      <c r="P21" s="1">
        <v>2021</v>
      </c>
      <c r="Q21" s="1">
        <v>2022</v>
      </c>
      <c r="R21" s="1">
        <v>2023</v>
      </c>
      <c r="S21" s="1">
        <v>2024</v>
      </c>
      <c r="T21" s="1">
        <v>2025</v>
      </c>
      <c r="U21" s="1">
        <v>2026</v>
      </c>
      <c r="V21" s="1">
        <v>2027</v>
      </c>
      <c r="W21" s="1">
        <v>2028</v>
      </c>
      <c r="X21" s="1">
        <v>2029</v>
      </c>
      <c r="Y21" s="1">
        <v>2030</v>
      </c>
      <c r="AA21"/>
      <c r="AB21" s="361"/>
      <c r="AC21" s="35"/>
      <c r="AJ21" s="619" t="s">
        <v>791</v>
      </c>
      <c r="AK21" s="232" t="s">
        <v>792</v>
      </c>
    </row>
    <row r="22" spans="1:37" s="9" customFormat="1" ht="16.5" customHeight="1" x14ac:dyDescent="0.3">
      <c r="A22" s="9" t="str">
        <f>B22&amp;C22&amp;D22</f>
        <v>AWCP50</v>
      </c>
      <c r="B22" s="9" t="s">
        <v>505</v>
      </c>
      <c r="C22" s="631" t="s">
        <v>1015</v>
      </c>
      <c r="D22" s="9">
        <v>50</v>
      </c>
      <c r="E22" s="934" t="str">
        <f>IF(Language="English", AB22, AC22)</f>
        <v>CPR among all women</v>
      </c>
      <c r="F22" s="934"/>
      <c r="G22" s="372">
        <f>VLOOKUP($C22&amp;$B22&amp;$D22, 'Review FPET Inputs'!$H$37:$AG$87, MATCH('Indicator Calculations'!G$7, 'Review FPET Inputs'!$H$37:$AA$37, 0), FALSE)</f>
        <v>0</v>
      </c>
      <c r="H22" s="372">
        <f>VLOOKUP($C22&amp;$B22&amp;$D22, 'Review FPET Inputs'!$H$37:$AG$87, MATCH('Indicator Calculations'!H$7, 'Review FPET Inputs'!$H$37:$AA$37, 0), FALSE)</f>
        <v>0</v>
      </c>
      <c r="I22" s="372">
        <f>VLOOKUP($C22&amp;$B22&amp;$D22, 'Review FPET Inputs'!$H$37:$AG$87, MATCH('Indicator Calculations'!I$7, 'Review FPET Inputs'!$H$37:$AA$37, 0), FALSE)</f>
        <v>0</v>
      </c>
      <c r="J22" s="372">
        <f>VLOOKUP($C22&amp;$B22&amp;$D22, 'Review FPET Inputs'!$H$37:$AG$87, MATCH('Indicator Calculations'!J$7, 'Review FPET Inputs'!$H$37:$AA$37, 0), FALSE)</f>
        <v>0</v>
      </c>
      <c r="K22" s="372">
        <f>VLOOKUP($C22&amp;$B22&amp;$D22, 'Review FPET Inputs'!$H$37:$AG$87, MATCH('Indicator Calculations'!K$7, 'Review FPET Inputs'!$H$37:$AA$37, 0), FALSE)</f>
        <v>0</v>
      </c>
      <c r="L22" s="372">
        <f>VLOOKUP($C22&amp;$B22&amp;$D22, 'Review FPET Inputs'!$H$37:$AG$87, MATCH('Indicator Calculations'!L$7, 'Review FPET Inputs'!$H$37:$AA$37, 0), FALSE)</f>
        <v>0</v>
      </c>
      <c r="M22" s="372">
        <f>VLOOKUP($C22&amp;$B22&amp;$D22, 'Review FPET Inputs'!$H$37:$AG$87, MATCH('Indicator Calculations'!M$7, 'Review FPET Inputs'!$H$37:$AA$37, 0), FALSE)</f>
        <v>0</v>
      </c>
      <c r="N22" s="372">
        <f>VLOOKUP($C22&amp;$B22&amp;$D22, 'Review FPET Inputs'!$H$37:$AG$87, MATCH('Indicator Calculations'!N$7, 'Review FPET Inputs'!$H$37:$AA$37, 0), FALSE)</f>
        <v>0</v>
      </c>
      <c r="O22" s="372">
        <f>VLOOKUP($C22&amp;$B22&amp;$D22, 'Review FPET Inputs'!$H$37:$AG$87, MATCH('Indicator Calculations'!O$7, 'Review FPET Inputs'!$H$37:$AA$37, 0), FALSE)</f>
        <v>0</v>
      </c>
      <c r="P22" s="372">
        <f>VLOOKUP($C22&amp;$B22&amp;$D22, 'Review FPET Inputs'!$H$37:$AG$87, MATCH('Indicator Calculations'!P$7, 'Review FPET Inputs'!$H$37:$AA$37, 0), FALSE)</f>
        <v>0</v>
      </c>
      <c r="Q22" s="372">
        <f>VLOOKUP($C22&amp;$B22&amp;$D22, 'Review FPET Inputs'!$H$37:$AG$87, MATCH('Indicator Calculations'!Q$7, 'Review FPET Inputs'!$H$37:$AA$37, 0), FALSE)</f>
        <v>0</v>
      </c>
      <c r="R22" s="372">
        <f>VLOOKUP($C22&amp;$B22&amp;$D22, 'Review FPET Inputs'!$H$37:$AG$87, MATCH('Indicator Calculations'!R$7, 'Review FPET Inputs'!$H$37:$AA$37, 0), FALSE)</f>
        <v>0</v>
      </c>
      <c r="S22" s="372">
        <f>VLOOKUP($C22&amp;$B22&amp;$D22, 'Review FPET Inputs'!$H$37:$AG$87, MATCH('Indicator Calculations'!S$7, 'Review FPET Inputs'!$H$37:$AA$37, 0), FALSE)</f>
        <v>0</v>
      </c>
      <c r="T22" s="372">
        <f>VLOOKUP($C22&amp;$B22&amp;$D22, 'Review FPET Inputs'!$H$37:$AG$87, MATCH('Indicator Calculations'!T$7, 'Review FPET Inputs'!$H$37:$AA$37, 0), FALSE)</f>
        <v>0</v>
      </c>
      <c r="U22" s="372">
        <f>VLOOKUP($C22&amp;$B22&amp;$D22, 'Review FPET Inputs'!$H$37:$AG$87, MATCH('Indicator Calculations'!U$7, 'Review FPET Inputs'!$H$37:$AA$37, 0), FALSE)</f>
        <v>0</v>
      </c>
      <c r="V22" s="372">
        <f>VLOOKUP($C22&amp;$B22&amp;$D22, 'Review FPET Inputs'!$H$37:$AG$87, MATCH('Indicator Calculations'!V$7, 'Review FPET Inputs'!$H$37:$AA$37, 0), FALSE)</f>
        <v>0</v>
      </c>
      <c r="W22" s="372">
        <f>VLOOKUP($C22&amp;$B22&amp;$D22, 'Review FPET Inputs'!$H$37:$AG$87, MATCH('Indicator Calculations'!W$7, 'Review FPET Inputs'!$H$37:$AA$37, 0), FALSE)</f>
        <v>0</v>
      </c>
      <c r="X22" s="372">
        <f>VLOOKUP($C22&amp;$B22&amp;$D22, 'Review FPET Inputs'!$H$37:$AG$87, MATCH('Indicator Calculations'!X$7, 'Review FPET Inputs'!$H$37:$AA$37, 0), FALSE)</f>
        <v>0</v>
      </c>
      <c r="Y22" s="372">
        <f>VLOOKUP($C22&amp;$B22&amp;$D22, 'Review FPET Inputs'!$H$37:$AG$87, MATCH('Indicator Calculations'!Y$7, 'Review FPET Inputs'!$H$37:$AA$37, 0), FALSE)</f>
        <v>0</v>
      </c>
      <c r="AA22"/>
      <c r="AB22" s="361" t="s">
        <v>704</v>
      </c>
      <c r="AC22" s="232" t="s">
        <v>708</v>
      </c>
    </row>
    <row r="23" spans="1:37" s="44" customFormat="1" ht="16.5" customHeight="1" x14ac:dyDescent="0.3">
      <c r="A23" s="9" t="str">
        <f>B23&amp;C23&amp;D23</f>
        <v>AWmCP50</v>
      </c>
      <c r="B23" s="9" t="s">
        <v>505</v>
      </c>
      <c r="C23" s="631" t="s">
        <v>1014</v>
      </c>
      <c r="D23" s="9">
        <v>50</v>
      </c>
      <c r="E23" s="934" t="str">
        <f>IF(Language="English", AB23, AC23)</f>
        <v>mCPR among all women</v>
      </c>
      <c r="F23" s="934"/>
      <c r="G23" s="372">
        <f>VLOOKUP($C23&amp;$B23&amp;$D23, 'Review FPET Inputs'!$H$37:$AG$87, MATCH('Indicator Calculations'!G$7, 'Review FPET Inputs'!$H$37:$AA$37, 0), FALSE)</f>
        <v>0</v>
      </c>
      <c r="H23" s="372">
        <f>VLOOKUP($C23&amp;$B23&amp;$D23, 'Review FPET Inputs'!$H$37:$AG$87, MATCH('Indicator Calculations'!H$7, 'Review FPET Inputs'!$H$37:$AA$37, 0), FALSE)</f>
        <v>0</v>
      </c>
      <c r="I23" s="372">
        <f>VLOOKUP($C23&amp;$B23&amp;$D23, 'Review FPET Inputs'!$H$37:$AG$87, MATCH('Indicator Calculations'!I$7, 'Review FPET Inputs'!$H$37:$AA$37, 0), FALSE)</f>
        <v>0</v>
      </c>
      <c r="J23" s="372">
        <f>VLOOKUP($C23&amp;$B23&amp;$D23, 'Review FPET Inputs'!$H$37:$AG$87, MATCH('Indicator Calculations'!J$7, 'Review FPET Inputs'!$H$37:$AA$37, 0), FALSE)</f>
        <v>0</v>
      </c>
      <c r="K23" s="372">
        <f>VLOOKUP($C23&amp;$B23&amp;$D23, 'Review FPET Inputs'!$H$37:$AG$87, MATCH('Indicator Calculations'!K$7, 'Review FPET Inputs'!$H$37:$AA$37, 0), FALSE)</f>
        <v>0</v>
      </c>
      <c r="L23" s="372">
        <f>VLOOKUP($C23&amp;$B23&amp;$D23, 'Review FPET Inputs'!$H$37:$AG$87, MATCH('Indicator Calculations'!L$7, 'Review FPET Inputs'!$H$37:$AA$37, 0), FALSE)</f>
        <v>0</v>
      </c>
      <c r="M23" s="372">
        <f>VLOOKUP($C23&amp;$B23&amp;$D23, 'Review FPET Inputs'!$H$37:$AG$87, MATCH('Indicator Calculations'!M$7, 'Review FPET Inputs'!$H$37:$AA$37, 0), FALSE)</f>
        <v>0</v>
      </c>
      <c r="N23" s="372">
        <f>VLOOKUP($C23&amp;$B23&amp;$D23, 'Review FPET Inputs'!$H$37:$AG$87, MATCH('Indicator Calculations'!N$7, 'Review FPET Inputs'!$H$37:$AA$37, 0), FALSE)</f>
        <v>0</v>
      </c>
      <c r="O23" s="372">
        <f>VLOOKUP($C23&amp;$B23&amp;$D23, 'Review FPET Inputs'!$H$37:$AG$87, MATCH('Indicator Calculations'!O$7, 'Review FPET Inputs'!$H$37:$AA$37, 0), FALSE)</f>
        <v>0</v>
      </c>
      <c r="P23" s="372">
        <f>VLOOKUP($C23&amp;$B23&amp;$D23, 'Review FPET Inputs'!$H$37:$AG$87, MATCH('Indicator Calculations'!P$7, 'Review FPET Inputs'!$H$37:$AA$37, 0), FALSE)</f>
        <v>0</v>
      </c>
      <c r="Q23" s="372">
        <f>VLOOKUP($C23&amp;$B23&amp;$D23, 'Review FPET Inputs'!$H$37:$AG$87, MATCH('Indicator Calculations'!Q$7, 'Review FPET Inputs'!$H$37:$AA$37, 0), FALSE)</f>
        <v>0</v>
      </c>
      <c r="R23" s="372">
        <f>VLOOKUP($C23&amp;$B23&amp;$D23, 'Review FPET Inputs'!$H$37:$AG$87, MATCH('Indicator Calculations'!R$7, 'Review FPET Inputs'!$H$37:$AA$37, 0), FALSE)</f>
        <v>0</v>
      </c>
      <c r="S23" s="372">
        <f>VLOOKUP($C23&amp;$B23&amp;$D23, 'Review FPET Inputs'!$H$37:$AG$87, MATCH('Indicator Calculations'!S$7, 'Review FPET Inputs'!$H$37:$AA$37, 0), FALSE)</f>
        <v>0</v>
      </c>
      <c r="T23" s="372">
        <f>VLOOKUP($C23&amp;$B23&amp;$D23, 'Review FPET Inputs'!$H$37:$AG$87, MATCH('Indicator Calculations'!T$7, 'Review FPET Inputs'!$H$37:$AA$37, 0), FALSE)</f>
        <v>0</v>
      </c>
      <c r="U23" s="372">
        <f>VLOOKUP($C23&amp;$B23&amp;$D23, 'Review FPET Inputs'!$H$37:$AG$87, MATCH('Indicator Calculations'!U$7, 'Review FPET Inputs'!$H$37:$AA$37, 0), FALSE)</f>
        <v>0</v>
      </c>
      <c r="V23" s="372">
        <f>VLOOKUP($C23&amp;$B23&amp;$D23, 'Review FPET Inputs'!$H$37:$AG$87, MATCH('Indicator Calculations'!V$7, 'Review FPET Inputs'!$H$37:$AA$37, 0), FALSE)</f>
        <v>0</v>
      </c>
      <c r="W23" s="372">
        <f>VLOOKUP($C23&amp;$B23&amp;$D23, 'Review FPET Inputs'!$H$37:$AG$87, MATCH('Indicator Calculations'!W$7, 'Review FPET Inputs'!$H$37:$AA$37, 0), FALSE)</f>
        <v>0</v>
      </c>
      <c r="X23" s="372">
        <f>VLOOKUP($C23&amp;$B23&amp;$D23, 'Review FPET Inputs'!$H$37:$AG$87, MATCH('Indicator Calculations'!X$7, 'Review FPET Inputs'!$H$37:$AA$37, 0), FALSE)</f>
        <v>0</v>
      </c>
      <c r="Y23" s="372">
        <f>VLOOKUP($C23&amp;$B23&amp;$D23, 'Review FPET Inputs'!$H$37:$AG$87, MATCH('Indicator Calculations'!Y$7, 'Review FPET Inputs'!$H$37:$AA$37, 0), FALSE)</f>
        <v>0</v>
      </c>
      <c r="AA23"/>
      <c r="AB23" s="73" t="s">
        <v>705</v>
      </c>
      <c r="AC23" s="232" t="s">
        <v>709</v>
      </c>
    </row>
    <row r="24" spans="1:37" s="44" customFormat="1" ht="16.5" customHeight="1" x14ac:dyDescent="0.3">
      <c r="A24" s="9" t="str">
        <f>B24&amp;C24&amp;D24</f>
        <v>AWmDS50</v>
      </c>
      <c r="B24" s="9" t="s">
        <v>505</v>
      </c>
      <c r="C24" s="631" t="s">
        <v>1016</v>
      </c>
      <c r="D24" s="9">
        <v>50</v>
      </c>
      <c r="E24" s="934" t="str">
        <f>IF(Language="English", AB24, AC24)</f>
        <v>Demand Satisified with modern methods (all women)</v>
      </c>
      <c r="F24" s="934"/>
      <c r="G24" s="372">
        <f>VLOOKUP($C24&amp;$B24&amp;$D24, 'Review FPET Inputs'!$H$37:$AG$87, MATCH('Indicator Calculations'!G$7, 'Review FPET Inputs'!$H$37:$AA$37, 0), FALSE)</f>
        <v>0</v>
      </c>
      <c r="H24" s="372">
        <f>VLOOKUP($C24&amp;$B24&amp;$D24, 'Review FPET Inputs'!$H$37:$AG$87, MATCH('Indicator Calculations'!H$7, 'Review FPET Inputs'!$H$37:$AA$37, 0), FALSE)</f>
        <v>0</v>
      </c>
      <c r="I24" s="372">
        <f>VLOOKUP($C24&amp;$B24&amp;$D24, 'Review FPET Inputs'!$H$37:$AG$87, MATCH('Indicator Calculations'!I$7, 'Review FPET Inputs'!$H$37:$AA$37, 0), FALSE)</f>
        <v>0</v>
      </c>
      <c r="J24" s="372">
        <f>VLOOKUP($C24&amp;$B24&amp;$D24, 'Review FPET Inputs'!$H$37:$AG$87, MATCH('Indicator Calculations'!J$7, 'Review FPET Inputs'!$H$37:$AA$37, 0), FALSE)</f>
        <v>0</v>
      </c>
      <c r="K24" s="372">
        <f>VLOOKUP($C24&amp;$B24&amp;$D24, 'Review FPET Inputs'!$H$37:$AG$87, MATCH('Indicator Calculations'!K$7, 'Review FPET Inputs'!$H$37:$AA$37, 0), FALSE)</f>
        <v>0</v>
      </c>
      <c r="L24" s="372">
        <f>VLOOKUP($C24&amp;$B24&amp;$D24, 'Review FPET Inputs'!$H$37:$AG$87, MATCH('Indicator Calculations'!L$7, 'Review FPET Inputs'!$H$37:$AA$37, 0), FALSE)</f>
        <v>0</v>
      </c>
      <c r="M24" s="372">
        <f>VLOOKUP($C24&amp;$B24&amp;$D24, 'Review FPET Inputs'!$H$37:$AG$87, MATCH('Indicator Calculations'!M$7, 'Review FPET Inputs'!$H$37:$AA$37, 0), FALSE)</f>
        <v>0</v>
      </c>
      <c r="N24" s="372">
        <f>VLOOKUP($C24&amp;$B24&amp;$D24, 'Review FPET Inputs'!$H$37:$AG$87, MATCH('Indicator Calculations'!N$7, 'Review FPET Inputs'!$H$37:$AA$37, 0), FALSE)</f>
        <v>0</v>
      </c>
      <c r="O24" s="372">
        <f>VLOOKUP($C24&amp;$B24&amp;$D24, 'Review FPET Inputs'!$H$37:$AG$87, MATCH('Indicator Calculations'!O$7, 'Review FPET Inputs'!$H$37:$AA$37, 0), FALSE)</f>
        <v>0</v>
      </c>
      <c r="P24" s="372">
        <f>VLOOKUP($C24&amp;$B24&amp;$D24, 'Review FPET Inputs'!$H$37:$AG$87, MATCH('Indicator Calculations'!P$7, 'Review FPET Inputs'!$H$37:$AA$37, 0), FALSE)</f>
        <v>0</v>
      </c>
      <c r="Q24" s="372">
        <f>VLOOKUP($C24&amp;$B24&amp;$D24, 'Review FPET Inputs'!$H$37:$AG$87, MATCH('Indicator Calculations'!Q$7, 'Review FPET Inputs'!$H$37:$AA$37, 0), FALSE)</f>
        <v>0</v>
      </c>
      <c r="R24" s="372">
        <f>VLOOKUP($C24&amp;$B24&amp;$D24, 'Review FPET Inputs'!$H$37:$AG$87, MATCH('Indicator Calculations'!R$7, 'Review FPET Inputs'!$H$37:$AA$37, 0), FALSE)</f>
        <v>0</v>
      </c>
      <c r="S24" s="372">
        <f>VLOOKUP($C24&amp;$B24&amp;$D24, 'Review FPET Inputs'!$H$37:$AG$87, MATCH('Indicator Calculations'!S$7, 'Review FPET Inputs'!$H$37:$AA$37, 0), FALSE)</f>
        <v>0</v>
      </c>
      <c r="T24" s="372">
        <f>VLOOKUP($C24&amp;$B24&amp;$D24, 'Review FPET Inputs'!$H$37:$AG$87, MATCH('Indicator Calculations'!T$7, 'Review FPET Inputs'!$H$37:$AA$37, 0), FALSE)</f>
        <v>0</v>
      </c>
      <c r="U24" s="372">
        <f>VLOOKUP($C24&amp;$B24&amp;$D24, 'Review FPET Inputs'!$H$37:$AG$87, MATCH('Indicator Calculations'!U$7, 'Review FPET Inputs'!$H$37:$AA$37, 0), FALSE)</f>
        <v>0</v>
      </c>
      <c r="V24" s="372">
        <f>VLOOKUP($C24&amp;$B24&amp;$D24, 'Review FPET Inputs'!$H$37:$AG$87, MATCH('Indicator Calculations'!V$7, 'Review FPET Inputs'!$H$37:$AA$37, 0), FALSE)</f>
        <v>0</v>
      </c>
      <c r="W24" s="372">
        <f>VLOOKUP($C24&amp;$B24&amp;$D24, 'Review FPET Inputs'!$H$37:$AG$87, MATCH('Indicator Calculations'!W$7, 'Review FPET Inputs'!$H$37:$AA$37, 0), FALSE)</f>
        <v>0</v>
      </c>
      <c r="X24" s="372">
        <f>VLOOKUP($C24&amp;$B24&amp;$D24, 'Review FPET Inputs'!$H$37:$AG$87, MATCH('Indicator Calculations'!X$7, 'Review FPET Inputs'!$H$37:$AA$37, 0), FALSE)</f>
        <v>0</v>
      </c>
      <c r="Y24" s="372">
        <f>VLOOKUP($C24&amp;$B24&amp;$D24, 'Review FPET Inputs'!$H$37:$AG$87, MATCH('Indicator Calculations'!Y$7, 'Review FPET Inputs'!$H$37:$AA$37, 0), FALSE)</f>
        <v>0</v>
      </c>
      <c r="AA24"/>
      <c r="AB24" s="619" t="s">
        <v>791</v>
      </c>
      <c r="AC24" s="232" t="s">
        <v>792</v>
      </c>
    </row>
    <row r="25" spans="1:37" s="44" customFormat="1" ht="16.5" customHeight="1" x14ac:dyDescent="0.3">
      <c r="A25" s="9" t="str">
        <f>B25&amp;C25&amp;D25</f>
        <v>AWmUN50</v>
      </c>
      <c r="B25" s="9" t="s">
        <v>505</v>
      </c>
      <c r="C25" s="631" t="s">
        <v>1017</v>
      </c>
      <c r="D25" s="9">
        <v>50</v>
      </c>
      <c r="E25" s="934" t="str">
        <f>IF(Language="English", AB25, AC25)</f>
        <v>Unmet need for modern methods (all women)</v>
      </c>
      <c r="F25" s="934"/>
      <c r="G25" s="372">
        <f>VLOOKUP($C25&amp;$B25&amp;$D25, 'Review FPET Inputs'!$H$37:$AG$87, MATCH('Indicator Calculations'!G$7, 'Review FPET Inputs'!$H$37:$AA$37, 0), FALSE)</f>
        <v>0</v>
      </c>
      <c r="H25" s="372">
        <f>VLOOKUP($C25&amp;$B25&amp;$D25, 'Review FPET Inputs'!$H$37:$AG$87, MATCH('Indicator Calculations'!H$7, 'Review FPET Inputs'!$H$37:$AA$37, 0), FALSE)</f>
        <v>0</v>
      </c>
      <c r="I25" s="372">
        <f>VLOOKUP($C25&amp;$B25&amp;$D25, 'Review FPET Inputs'!$H$37:$AG$87, MATCH('Indicator Calculations'!I$7, 'Review FPET Inputs'!$H$37:$AA$37, 0), FALSE)</f>
        <v>0</v>
      </c>
      <c r="J25" s="372">
        <f>VLOOKUP($C25&amp;$B25&amp;$D25, 'Review FPET Inputs'!$H$37:$AG$87, MATCH('Indicator Calculations'!J$7, 'Review FPET Inputs'!$H$37:$AA$37, 0), FALSE)</f>
        <v>0</v>
      </c>
      <c r="K25" s="372">
        <f>VLOOKUP($C25&amp;$B25&amp;$D25, 'Review FPET Inputs'!$H$37:$AG$87, MATCH('Indicator Calculations'!K$7, 'Review FPET Inputs'!$H$37:$AA$37, 0), FALSE)</f>
        <v>0</v>
      </c>
      <c r="L25" s="372">
        <f>VLOOKUP($C25&amp;$B25&amp;$D25, 'Review FPET Inputs'!$H$37:$AG$87, MATCH('Indicator Calculations'!L$7, 'Review FPET Inputs'!$H$37:$AA$37, 0), FALSE)</f>
        <v>0</v>
      </c>
      <c r="M25" s="372">
        <f>VLOOKUP($C25&amp;$B25&amp;$D25, 'Review FPET Inputs'!$H$37:$AG$87, MATCH('Indicator Calculations'!M$7, 'Review FPET Inputs'!$H$37:$AA$37, 0), FALSE)</f>
        <v>0</v>
      </c>
      <c r="N25" s="372">
        <f>VLOOKUP($C25&amp;$B25&amp;$D25, 'Review FPET Inputs'!$H$37:$AG$87, MATCH('Indicator Calculations'!N$7, 'Review FPET Inputs'!$H$37:$AA$37, 0), FALSE)</f>
        <v>0</v>
      </c>
      <c r="O25" s="372">
        <f>VLOOKUP($C25&amp;$B25&amp;$D25, 'Review FPET Inputs'!$H$37:$AG$87, MATCH('Indicator Calculations'!O$7, 'Review FPET Inputs'!$H$37:$AA$37, 0), FALSE)</f>
        <v>0</v>
      </c>
      <c r="P25" s="372">
        <f>VLOOKUP($C25&amp;$B25&amp;$D25, 'Review FPET Inputs'!$H$37:$AG$87, MATCH('Indicator Calculations'!P$7, 'Review FPET Inputs'!$H$37:$AA$37, 0), FALSE)</f>
        <v>0</v>
      </c>
      <c r="Q25" s="372">
        <f>VLOOKUP($C25&amp;$B25&amp;$D25, 'Review FPET Inputs'!$H$37:$AG$87, MATCH('Indicator Calculations'!Q$7, 'Review FPET Inputs'!$H$37:$AA$37, 0), FALSE)</f>
        <v>0</v>
      </c>
      <c r="R25" s="372">
        <f>VLOOKUP($C25&amp;$B25&amp;$D25, 'Review FPET Inputs'!$H$37:$AG$87, MATCH('Indicator Calculations'!R$7, 'Review FPET Inputs'!$H$37:$AA$37, 0), FALSE)</f>
        <v>0</v>
      </c>
      <c r="S25" s="372">
        <f>VLOOKUP($C25&amp;$B25&amp;$D25, 'Review FPET Inputs'!$H$37:$AG$87, MATCH('Indicator Calculations'!S$7, 'Review FPET Inputs'!$H$37:$AA$37, 0), FALSE)</f>
        <v>0</v>
      </c>
      <c r="T25" s="372">
        <f>VLOOKUP($C25&amp;$B25&amp;$D25, 'Review FPET Inputs'!$H$37:$AG$87, MATCH('Indicator Calculations'!T$7, 'Review FPET Inputs'!$H$37:$AA$37, 0), FALSE)</f>
        <v>0</v>
      </c>
      <c r="U25" s="372">
        <f>VLOOKUP($C25&amp;$B25&amp;$D25, 'Review FPET Inputs'!$H$37:$AG$87, MATCH('Indicator Calculations'!U$7, 'Review FPET Inputs'!$H$37:$AA$37, 0), FALSE)</f>
        <v>0</v>
      </c>
      <c r="V25" s="372">
        <f>VLOOKUP($C25&amp;$B25&amp;$D25, 'Review FPET Inputs'!$H$37:$AG$87, MATCH('Indicator Calculations'!V$7, 'Review FPET Inputs'!$H$37:$AA$37, 0), FALSE)</f>
        <v>0</v>
      </c>
      <c r="W25" s="372">
        <f>VLOOKUP($C25&amp;$B25&amp;$D25, 'Review FPET Inputs'!$H$37:$AG$87, MATCH('Indicator Calculations'!W$7, 'Review FPET Inputs'!$H$37:$AA$37, 0), FALSE)</f>
        <v>0</v>
      </c>
      <c r="X25" s="372">
        <f>VLOOKUP($C25&amp;$B25&amp;$D25, 'Review FPET Inputs'!$H$37:$AG$87, MATCH('Indicator Calculations'!X$7, 'Review FPET Inputs'!$H$37:$AA$37, 0), FALSE)</f>
        <v>0</v>
      </c>
      <c r="Y25" s="372">
        <f>VLOOKUP($C25&amp;$B25&amp;$D25, 'Review FPET Inputs'!$H$37:$AG$87, MATCH('Indicator Calculations'!Y$7, 'Review FPET Inputs'!$H$37:$AA$37, 0), FALSE)</f>
        <v>0</v>
      </c>
      <c r="AA25"/>
      <c r="AB25" s="233" t="s">
        <v>706</v>
      </c>
      <c r="AC25" s="234" t="s">
        <v>707</v>
      </c>
    </row>
    <row r="26" spans="1:37" s="44" customFormat="1" ht="16.5" customHeight="1" x14ac:dyDescent="0.3">
      <c r="B26" s="9"/>
      <c r="C26" s="637"/>
      <c r="D26" s="9"/>
      <c r="E26" s="623"/>
      <c r="F26" s="623"/>
      <c r="G26" s="655"/>
      <c r="H26" s="655"/>
      <c r="I26" s="655"/>
      <c r="J26" s="655"/>
      <c r="K26" s="655"/>
      <c r="L26" s="655"/>
      <c r="M26" s="655"/>
      <c r="N26" s="655"/>
      <c r="O26" s="655"/>
      <c r="P26" s="655"/>
      <c r="Q26" s="655"/>
      <c r="R26" s="655"/>
      <c r="S26" s="655"/>
      <c r="T26" s="655"/>
      <c r="U26" s="655"/>
      <c r="V26" s="655"/>
      <c r="W26" s="655"/>
      <c r="X26" s="655"/>
      <c r="Y26" s="655"/>
      <c r="AA26" s="9"/>
      <c r="AB26" s="624"/>
      <c r="AC26" s="234"/>
    </row>
    <row r="27" spans="1:37" ht="15.6" x14ac:dyDescent="0.3">
      <c r="D27" s="932" t="s">
        <v>735</v>
      </c>
      <c r="E27" s="932"/>
      <c r="F27" s="932"/>
      <c r="G27" s="932"/>
      <c r="H27" s="932"/>
      <c r="I27" s="932"/>
      <c r="J27" s="932"/>
      <c r="K27" s="932"/>
      <c r="L27" s="932"/>
      <c r="M27" s="932"/>
      <c r="N27" s="932"/>
      <c r="O27" s="932"/>
      <c r="P27" s="932"/>
      <c r="Q27" s="932"/>
      <c r="R27" s="932"/>
      <c r="S27" s="932"/>
      <c r="T27" s="932"/>
      <c r="U27" s="932"/>
      <c r="V27" s="932"/>
      <c r="W27" s="932"/>
      <c r="X27" s="932"/>
      <c r="Y27" s="932"/>
      <c r="Z27" s="933"/>
    </row>
    <row r="28" spans="1:37" x14ac:dyDescent="0.3">
      <c r="E28" s="9"/>
      <c r="G28" s="1">
        <v>2012</v>
      </c>
      <c r="H28" s="1">
        <v>2013</v>
      </c>
      <c r="I28" s="1">
        <v>2014</v>
      </c>
      <c r="J28" s="1">
        <v>2015</v>
      </c>
      <c r="K28" s="1">
        <v>2016</v>
      </c>
      <c r="L28" s="1">
        <v>2017</v>
      </c>
      <c r="M28" s="1">
        <v>2018</v>
      </c>
      <c r="N28" s="1">
        <v>2019</v>
      </c>
      <c r="O28" s="1">
        <v>2020</v>
      </c>
      <c r="P28" s="1">
        <v>2021</v>
      </c>
      <c r="Q28" s="1">
        <v>2022</v>
      </c>
      <c r="R28" s="1">
        <v>2023</v>
      </c>
      <c r="S28" s="1">
        <v>2024</v>
      </c>
      <c r="T28" s="1">
        <v>2025</v>
      </c>
      <c r="U28" s="1">
        <v>2026</v>
      </c>
      <c r="V28" s="1">
        <v>2027</v>
      </c>
      <c r="W28" s="1">
        <v>2028</v>
      </c>
      <c r="X28" s="1">
        <v>2029</v>
      </c>
      <c r="Y28" s="1">
        <v>2030</v>
      </c>
    </row>
    <row r="29" spans="1:37" x14ac:dyDescent="0.3">
      <c r="E29" s="934" t="str">
        <f>IF(Language="English", AB29, AC29)</f>
        <v>Number of women (15-49)*</v>
      </c>
      <c r="F29" s="934"/>
      <c r="G29" s="371" t="e">
        <f>'Assumption Review'!E18</f>
        <v>#N/A</v>
      </c>
      <c r="H29" s="371" t="e">
        <f>'Assumption Review'!F18</f>
        <v>#N/A</v>
      </c>
      <c r="I29" s="371" t="e">
        <f>'Assumption Review'!G18</f>
        <v>#N/A</v>
      </c>
      <c r="J29" s="371" t="e">
        <f>'Assumption Review'!H18</f>
        <v>#N/A</v>
      </c>
      <c r="K29" s="371" t="e">
        <f>'Assumption Review'!I18</f>
        <v>#N/A</v>
      </c>
      <c r="L29" s="371" t="e">
        <f>'Assumption Review'!J18</f>
        <v>#N/A</v>
      </c>
      <c r="M29" s="371" t="e">
        <f>'Assumption Review'!K18</f>
        <v>#N/A</v>
      </c>
      <c r="N29" s="371" t="e">
        <f>'Assumption Review'!L18</f>
        <v>#N/A</v>
      </c>
      <c r="O29" s="371" t="e">
        <f>'Assumption Review'!M18</f>
        <v>#N/A</v>
      </c>
      <c r="P29" s="371" t="e">
        <f>'Assumption Review'!N18</f>
        <v>#N/A</v>
      </c>
      <c r="Q29" s="371" t="e">
        <f>'Assumption Review'!O18</f>
        <v>#N/A</v>
      </c>
      <c r="R29" s="371" t="e">
        <f>'Assumption Review'!P18</f>
        <v>#N/A</v>
      </c>
      <c r="S29" s="371" t="e">
        <f>'Assumption Review'!Q18</f>
        <v>#N/A</v>
      </c>
      <c r="T29" s="371" t="e">
        <f>'Assumption Review'!R18</f>
        <v>#N/A</v>
      </c>
      <c r="U29" s="371" t="e">
        <f>'Assumption Review'!S18</f>
        <v>#N/A</v>
      </c>
      <c r="V29" s="371" t="e">
        <f>'Assumption Review'!T18</f>
        <v>#N/A</v>
      </c>
      <c r="W29" s="371" t="e">
        <f>'Assumption Review'!U18</f>
        <v>#N/A</v>
      </c>
      <c r="X29" s="371" t="e">
        <f>'Assumption Review'!V18</f>
        <v>#N/A</v>
      </c>
      <c r="Y29" s="371" t="e">
        <f>'Assumption Review'!W18</f>
        <v>#N/A</v>
      </c>
      <c r="AB29" s="24" t="s">
        <v>109</v>
      </c>
      <c r="AC29" s="24" t="s">
        <v>136</v>
      </c>
    </row>
    <row r="30" spans="1:37" s="9" customFormat="1" x14ac:dyDescent="0.3">
      <c r="E30" s="934" t="str">
        <f>IF(Language="English", AB30, AC30)</f>
        <v>Number of married women (15-49)</v>
      </c>
      <c r="F30" s="934"/>
      <c r="G30" s="371" t="e">
        <f>'Assumption Review'!E19</f>
        <v>#N/A</v>
      </c>
      <c r="H30" s="371" t="e">
        <f>'Assumption Review'!F19</f>
        <v>#N/A</v>
      </c>
      <c r="I30" s="371" t="e">
        <f>'Assumption Review'!G19</f>
        <v>#N/A</v>
      </c>
      <c r="J30" s="371" t="e">
        <f>'Assumption Review'!H19</f>
        <v>#N/A</v>
      </c>
      <c r="K30" s="371" t="e">
        <f>'Assumption Review'!I19</f>
        <v>#N/A</v>
      </c>
      <c r="L30" s="371" t="e">
        <f>'Assumption Review'!J19</f>
        <v>#N/A</v>
      </c>
      <c r="M30" s="371" t="e">
        <f>'Assumption Review'!K19</f>
        <v>#N/A</v>
      </c>
      <c r="N30" s="371" t="e">
        <f>'Assumption Review'!L19</f>
        <v>#N/A</v>
      </c>
      <c r="O30" s="371" t="e">
        <f>'Assumption Review'!M19</f>
        <v>#N/A</v>
      </c>
      <c r="P30" s="371" t="e">
        <f>'Assumption Review'!N19</f>
        <v>#N/A</v>
      </c>
      <c r="Q30" s="371" t="e">
        <f>'Assumption Review'!O19</f>
        <v>#N/A</v>
      </c>
      <c r="R30" s="371" t="e">
        <f>'Assumption Review'!P19</f>
        <v>#N/A</v>
      </c>
      <c r="S30" s="371" t="e">
        <f>'Assumption Review'!Q19</f>
        <v>#N/A</v>
      </c>
      <c r="T30" s="371" t="e">
        <f>'Assumption Review'!R19</f>
        <v>#N/A</v>
      </c>
      <c r="U30" s="371" t="e">
        <f>'Assumption Review'!S19</f>
        <v>#N/A</v>
      </c>
      <c r="V30" s="371" t="e">
        <f>'Assumption Review'!T19</f>
        <v>#N/A</v>
      </c>
      <c r="W30" s="371" t="e">
        <f>'Assumption Review'!U19</f>
        <v>#N/A</v>
      </c>
      <c r="X30" s="371" t="e">
        <f>'Assumption Review'!V19</f>
        <v>#N/A</v>
      </c>
      <c r="Y30" s="371" t="e">
        <f>'Assumption Review'!W19</f>
        <v>#N/A</v>
      </c>
      <c r="AB30" s="625" t="s">
        <v>979</v>
      </c>
      <c r="AC30" s="24" t="s">
        <v>1004</v>
      </c>
    </row>
    <row r="31" spans="1:37" s="9" customFormat="1" x14ac:dyDescent="0.3">
      <c r="E31" s="934" t="str">
        <f>IF(Language="English", AB31, AC31)</f>
        <v>Number of unmarried women (15-49)</v>
      </c>
      <c r="F31" s="934"/>
      <c r="G31" s="371" t="e">
        <f>'Assumption Review'!E20</f>
        <v>#N/A</v>
      </c>
      <c r="H31" s="371" t="e">
        <f>'Assumption Review'!F20</f>
        <v>#N/A</v>
      </c>
      <c r="I31" s="371" t="e">
        <f>'Assumption Review'!G20</f>
        <v>#N/A</v>
      </c>
      <c r="J31" s="371" t="e">
        <f>'Assumption Review'!H20</f>
        <v>#N/A</v>
      </c>
      <c r="K31" s="371" t="e">
        <f>'Assumption Review'!I20</f>
        <v>#N/A</v>
      </c>
      <c r="L31" s="371" t="e">
        <f>'Assumption Review'!J20</f>
        <v>#N/A</v>
      </c>
      <c r="M31" s="371" t="e">
        <f>'Assumption Review'!K20</f>
        <v>#N/A</v>
      </c>
      <c r="N31" s="371" t="e">
        <f>'Assumption Review'!L20</f>
        <v>#N/A</v>
      </c>
      <c r="O31" s="371" t="e">
        <f>'Assumption Review'!M20</f>
        <v>#N/A</v>
      </c>
      <c r="P31" s="371" t="e">
        <f>'Assumption Review'!N20</f>
        <v>#N/A</v>
      </c>
      <c r="Q31" s="371" t="e">
        <f>'Assumption Review'!O20</f>
        <v>#N/A</v>
      </c>
      <c r="R31" s="371" t="e">
        <f>'Assumption Review'!P20</f>
        <v>#N/A</v>
      </c>
      <c r="S31" s="371" t="e">
        <f>'Assumption Review'!Q20</f>
        <v>#N/A</v>
      </c>
      <c r="T31" s="371" t="e">
        <f>'Assumption Review'!R20</f>
        <v>#N/A</v>
      </c>
      <c r="U31" s="371" t="e">
        <f>'Assumption Review'!S20</f>
        <v>#N/A</v>
      </c>
      <c r="V31" s="371" t="e">
        <f>'Assumption Review'!T20</f>
        <v>#N/A</v>
      </c>
      <c r="W31" s="371" t="e">
        <f>'Assumption Review'!U20</f>
        <v>#N/A</v>
      </c>
      <c r="X31" s="371" t="e">
        <f>'Assumption Review'!V20</f>
        <v>#N/A</v>
      </c>
      <c r="Y31" s="371" t="e">
        <f>'Assumption Review'!W20</f>
        <v>#N/A</v>
      </c>
      <c r="AB31" s="625" t="s">
        <v>980</v>
      </c>
      <c r="AC31" s="24" t="s">
        <v>1003</v>
      </c>
    </row>
    <row r="33" spans="1:29" ht="21" x14ac:dyDescent="0.4">
      <c r="C33" s="940" t="s">
        <v>736</v>
      </c>
      <c r="D33" s="941"/>
      <c r="E33" s="941"/>
      <c r="F33" s="941"/>
      <c r="G33" s="941"/>
      <c r="H33" s="941"/>
      <c r="I33" s="941"/>
      <c r="J33" s="941"/>
      <c r="K33" s="941"/>
      <c r="L33" s="941"/>
      <c r="M33" s="941"/>
      <c r="N33" s="941"/>
      <c r="O33" s="941"/>
      <c r="P33" s="941"/>
      <c r="Q33" s="941"/>
      <c r="R33" s="941"/>
      <c r="S33" s="941"/>
      <c r="T33" s="941"/>
      <c r="U33" s="941"/>
      <c r="V33" s="941"/>
      <c r="W33" s="941"/>
      <c r="X33" s="941"/>
      <c r="Y33" s="941"/>
      <c r="Z33" s="941"/>
    </row>
    <row r="34" spans="1:29" x14ac:dyDescent="0.3">
      <c r="G34" s="1">
        <v>2012</v>
      </c>
      <c r="H34" s="1">
        <v>2013</v>
      </c>
      <c r="I34" s="1">
        <v>2014</v>
      </c>
      <c r="J34" s="1">
        <v>2015</v>
      </c>
      <c r="K34" s="1">
        <v>2016</v>
      </c>
      <c r="L34" s="1">
        <v>2017</v>
      </c>
      <c r="M34" s="1">
        <v>2018</v>
      </c>
      <c r="N34" s="1">
        <v>2019</v>
      </c>
      <c r="O34" s="1">
        <v>2020</v>
      </c>
      <c r="P34" s="1">
        <v>2021</v>
      </c>
      <c r="Q34" s="1">
        <v>2022</v>
      </c>
      <c r="R34" s="1">
        <v>2023</v>
      </c>
      <c r="S34" s="1">
        <v>2024</v>
      </c>
      <c r="T34" s="1">
        <v>2025</v>
      </c>
      <c r="U34" s="1">
        <v>2026</v>
      </c>
      <c r="V34" s="1">
        <v>2027</v>
      </c>
      <c r="W34" s="1">
        <v>2028</v>
      </c>
      <c r="X34" s="1">
        <v>2029</v>
      </c>
      <c r="Y34" s="1">
        <v>2030</v>
      </c>
    </row>
    <row r="35" spans="1:29" x14ac:dyDescent="0.3">
      <c r="A35" s="9" t="str">
        <f t="shared" ref="A35:A40" si="0">B35&amp;C35&amp;D35</f>
        <v>AWmTU50</v>
      </c>
      <c r="B35" t="s">
        <v>505</v>
      </c>
      <c r="C35" t="s">
        <v>1033</v>
      </c>
      <c r="D35" s="9">
        <v>50</v>
      </c>
      <c r="E35" s="937" t="str">
        <f t="shared" ref="E35:E40" si="1">IF(Language="English", AB35, AC35)</f>
        <v>Non-Indicator : Total Modern Users</v>
      </c>
      <c r="F35" s="937"/>
      <c r="G35" s="373" t="e">
        <f t="shared" ref="G35:L35" si="2">G23*G29</f>
        <v>#N/A</v>
      </c>
      <c r="H35" s="373" t="e">
        <f t="shared" si="2"/>
        <v>#N/A</v>
      </c>
      <c r="I35" s="373" t="e">
        <f t="shared" si="2"/>
        <v>#N/A</v>
      </c>
      <c r="J35" s="373" t="e">
        <f t="shared" si="2"/>
        <v>#N/A</v>
      </c>
      <c r="K35" s="373" t="e">
        <f t="shared" si="2"/>
        <v>#N/A</v>
      </c>
      <c r="L35" s="373" t="e">
        <f t="shared" si="2"/>
        <v>#N/A</v>
      </c>
      <c r="M35" s="373" t="e">
        <f t="shared" ref="M35:X35" si="3">M23*M29</f>
        <v>#N/A</v>
      </c>
      <c r="N35" s="373" t="e">
        <f t="shared" si="3"/>
        <v>#N/A</v>
      </c>
      <c r="O35" s="373" t="e">
        <f t="shared" si="3"/>
        <v>#N/A</v>
      </c>
      <c r="P35" s="373" t="e">
        <f t="shared" si="3"/>
        <v>#N/A</v>
      </c>
      <c r="Q35" s="373" t="e">
        <f t="shared" si="3"/>
        <v>#N/A</v>
      </c>
      <c r="R35" s="373" t="e">
        <f t="shared" si="3"/>
        <v>#N/A</v>
      </c>
      <c r="S35" s="373" t="e">
        <f t="shared" si="3"/>
        <v>#N/A</v>
      </c>
      <c r="T35" s="373" t="e">
        <f t="shared" si="3"/>
        <v>#N/A</v>
      </c>
      <c r="U35" s="373" t="e">
        <f t="shared" si="3"/>
        <v>#N/A</v>
      </c>
      <c r="V35" s="373" t="e">
        <f t="shared" si="3"/>
        <v>#N/A</v>
      </c>
      <c r="W35" s="373" t="e">
        <f t="shared" si="3"/>
        <v>#N/A</v>
      </c>
      <c r="X35" s="373" t="e">
        <f t="shared" si="3"/>
        <v>#N/A</v>
      </c>
      <c r="Y35" s="373" t="e">
        <f>Y23*Y29</f>
        <v>#N/A</v>
      </c>
      <c r="AB35" s="256" t="s">
        <v>738</v>
      </c>
      <c r="AC35" s="256"/>
    </row>
    <row r="36" spans="1:29" s="9" customFormat="1" x14ac:dyDescent="0.3">
      <c r="A36" s="9" t="str">
        <f t="shared" si="0"/>
        <v>MWmTU50</v>
      </c>
      <c r="B36" s="9" t="s">
        <v>511</v>
      </c>
      <c r="C36" s="9" t="s">
        <v>1033</v>
      </c>
      <c r="D36" s="9">
        <v>50</v>
      </c>
      <c r="E36" s="937" t="str">
        <f t="shared" si="1"/>
        <v>Non-Indicator : Married Modern Users</v>
      </c>
      <c r="F36" s="937"/>
      <c r="G36" s="373" t="e">
        <f t="shared" ref="G36:Y36" si="4">G9*G30</f>
        <v>#N/A</v>
      </c>
      <c r="H36" s="373" t="e">
        <f t="shared" si="4"/>
        <v>#N/A</v>
      </c>
      <c r="I36" s="373" t="e">
        <f t="shared" si="4"/>
        <v>#N/A</v>
      </c>
      <c r="J36" s="373" t="e">
        <f t="shared" si="4"/>
        <v>#N/A</v>
      </c>
      <c r="K36" s="373" t="e">
        <f t="shared" si="4"/>
        <v>#N/A</v>
      </c>
      <c r="L36" s="373" t="e">
        <f t="shared" si="4"/>
        <v>#N/A</v>
      </c>
      <c r="M36" s="373" t="e">
        <f t="shared" si="4"/>
        <v>#N/A</v>
      </c>
      <c r="N36" s="373" t="e">
        <f t="shared" si="4"/>
        <v>#N/A</v>
      </c>
      <c r="O36" s="373" t="e">
        <f t="shared" si="4"/>
        <v>#N/A</v>
      </c>
      <c r="P36" s="373" t="e">
        <f t="shared" si="4"/>
        <v>#N/A</v>
      </c>
      <c r="Q36" s="373" t="e">
        <f t="shared" si="4"/>
        <v>#N/A</v>
      </c>
      <c r="R36" s="373" t="e">
        <f t="shared" si="4"/>
        <v>#N/A</v>
      </c>
      <c r="S36" s="373" t="e">
        <f t="shared" si="4"/>
        <v>#N/A</v>
      </c>
      <c r="T36" s="373" t="e">
        <f t="shared" si="4"/>
        <v>#N/A</v>
      </c>
      <c r="U36" s="373" t="e">
        <f t="shared" si="4"/>
        <v>#N/A</v>
      </c>
      <c r="V36" s="373" t="e">
        <f t="shared" si="4"/>
        <v>#N/A</v>
      </c>
      <c r="W36" s="373" t="e">
        <f t="shared" si="4"/>
        <v>#N/A</v>
      </c>
      <c r="X36" s="373" t="e">
        <f t="shared" si="4"/>
        <v>#N/A</v>
      </c>
      <c r="Y36" s="373" t="e">
        <f t="shared" si="4"/>
        <v>#N/A</v>
      </c>
      <c r="AB36" s="256" t="s">
        <v>1008</v>
      </c>
      <c r="AC36" s="256"/>
    </row>
    <row r="37" spans="1:29" s="9" customFormat="1" x14ac:dyDescent="0.3">
      <c r="A37" s="9" t="str">
        <f t="shared" si="0"/>
        <v>UMWmTU50</v>
      </c>
      <c r="B37" s="8" t="s">
        <v>1018</v>
      </c>
      <c r="C37" s="9" t="s">
        <v>1033</v>
      </c>
      <c r="D37" s="9">
        <v>50</v>
      </c>
      <c r="E37" s="937" t="str">
        <f t="shared" si="1"/>
        <v>Non-Indicator : Unmarried Modern Users</v>
      </c>
      <c r="F37" s="937"/>
      <c r="G37" s="373" t="e">
        <f t="shared" ref="G37:Y37" si="5">G16*G31</f>
        <v>#N/A</v>
      </c>
      <c r="H37" s="373" t="e">
        <f t="shared" si="5"/>
        <v>#N/A</v>
      </c>
      <c r="I37" s="373" t="e">
        <f t="shared" si="5"/>
        <v>#N/A</v>
      </c>
      <c r="J37" s="373" t="e">
        <f t="shared" si="5"/>
        <v>#N/A</v>
      </c>
      <c r="K37" s="373" t="e">
        <f t="shared" si="5"/>
        <v>#N/A</v>
      </c>
      <c r="L37" s="373" t="e">
        <f t="shared" si="5"/>
        <v>#N/A</v>
      </c>
      <c r="M37" s="373" t="e">
        <f t="shared" si="5"/>
        <v>#N/A</v>
      </c>
      <c r="N37" s="373" t="e">
        <f t="shared" si="5"/>
        <v>#N/A</v>
      </c>
      <c r="O37" s="373" t="e">
        <f t="shared" si="5"/>
        <v>#N/A</v>
      </c>
      <c r="P37" s="373" t="e">
        <f t="shared" si="5"/>
        <v>#N/A</v>
      </c>
      <c r="Q37" s="373" t="e">
        <f t="shared" si="5"/>
        <v>#N/A</v>
      </c>
      <c r="R37" s="373" t="e">
        <f t="shared" si="5"/>
        <v>#N/A</v>
      </c>
      <c r="S37" s="373" t="e">
        <f t="shared" si="5"/>
        <v>#N/A</v>
      </c>
      <c r="T37" s="373" t="e">
        <f t="shared" si="5"/>
        <v>#N/A</v>
      </c>
      <c r="U37" s="373" t="e">
        <f t="shared" si="5"/>
        <v>#N/A</v>
      </c>
      <c r="V37" s="373" t="e">
        <f t="shared" si="5"/>
        <v>#N/A</v>
      </c>
      <c r="W37" s="373" t="e">
        <f t="shared" si="5"/>
        <v>#N/A</v>
      </c>
      <c r="X37" s="373" t="e">
        <f t="shared" si="5"/>
        <v>#N/A</v>
      </c>
      <c r="Y37" s="373" t="e">
        <f t="shared" si="5"/>
        <v>#N/A</v>
      </c>
      <c r="AB37" s="256" t="s">
        <v>1010</v>
      </c>
      <c r="AC37" s="256"/>
    </row>
    <row r="38" spans="1:29" x14ac:dyDescent="0.3">
      <c r="A38" s="9" t="str">
        <f t="shared" si="0"/>
        <v>AWmAU50</v>
      </c>
      <c r="B38" s="9" t="s">
        <v>505</v>
      </c>
      <c r="C38" t="s">
        <v>1034</v>
      </c>
      <c r="D38" s="9">
        <v>50</v>
      </c>
      <c r="E38" s="937" t="str">
        <f t="shared" si="1"/>
        <v>Indicator 1: Additional Users</v>
      </c>
      <c r="F38" s="937"/>
      <c r="G38" s="20">
        <v>0</v>
      </c>
      <c r="H38" s="374" t="e">
        <f>H35-$G$35</f>
        <v>#N/A</v>
      </c>
      <c r="I38" s="374" t="e">
        <f t="shared" ref="I38:Y38" si="6">I35-$G$35</f>
        <v>#N/A</v>
      </c>
      <c r="J38" s="374" t="e">
        <f t="shared" si="6"/>
        <v>#N/A</v>
      </c>
      <c r="K38" s="374" t="e">
        <f t="shared" si="6"/>
        <v>#N/A</v>
      </c>
      <c r="L38" s="374" t="e">
        <f t="shared" si="6"/>
        <v>#N/A</v>
      </c>
      <c r="M38" s="374" t="e">
        <f t="shared" si="6"/>
        <v>#N/A</v>
      </c>
      <c r="N38" s="374" t="e">
        <f t="shared" si="6"/>
        <v>#N/A</v>
      </c>
      <c r="O38" s="374" t="e">
        <f t="shared" si="6"/>
        <v>#N/A</v>
      </c>
      <c r="P38" s="374" t="e">
        <f t="shared" si="6"/>
        <v>#N/A</v>
      </c>
      <c r="Q38" s="374" t="e">
        <f t="shared" si="6"/>
        <v>#N/A</v>
      </c>
      <c r="R38" s="374" t="e">
        <f t="shared" si="6"/>
        <v>#N/A</v>
      </c>
      <c r="S38" s="374" t="e">
        <f t="shared" si="6"/>
        <v>#N/A</v>
      </c>
      <c r="T38" s="374" t="e">
        <f t="shared" si="6"/>
        <v>#N/A</v>
      </c>
      <c r="U38" s="374" t="e">
        <f t="shared" si="6"/>
        <v>#N/A</v>
      </c>
      <c r="V38" s="374" t="e">
        <f t="shared" si="6"/>
        <v>#N/A</v>
      </c>
      <c r="W38" s="374" t="e">
        <f t="shared" si="6"/>
        <v>#N/A</v>
      </c>
      <c r="X38" s="374" t="e">
        <f t="shared" si="6"/>
        <v>#N/A</v>
      </c>
      <c r="Y38" s="374" t="e">
        <f t="shared" si="6"/>
        <v>#N/A</v>
      </c>
      <c r="AB38" s="256" t="s">
        <v>737</v>
      </c>
      <c r="AC38" s="256"/>
    </row>
    <row r="39" spans="1:29" s="9" customFormat="1" x14ac:dyDescent="0.3">
      <c r="A39" s="9" t="str">
        <f t="shared" si="0"/>
        <v>MWmAU50</v>
      </c>
      <c r="B39" s="8" t="s">
        <v>511</v>
      </c>
      <c r="C39" s="9" t="s">
        <v>1034</v>
      </c>
      <c r="D39" s="9">
        <v>50</v>
      </c>
      <c r="E39" s="937" t="str">
        <f t="shared" si="1"/>
        <v>Indicator 1: Additional Married Users</v>
      </c>
      <c r="F39" s="937"/>
      <c r="G39" s="20">
        <v>0</v>
      </c>
      <c r="H39" s="374" t="e">
        <f>H36-$G$36</f>
        <v>#N/A</v>
      </c>
      <c r="I39" s="374" t="e">
        <f t="shared" ref="I39:Y39" si="7">I36-$G$36</f>
        <v>#N/A</v>
      </c>
      <c r="J39" s="374" t="e">
        <f t="shared" si="7"/>
        <v>#N/A</v>
      </c>
      <c r="K39" s="374" t="e">
        <f t="shared" si="7"/>
        <v>#N/A</v>
      </c>
      <c r="L39" s="374" t="e">
        <f t="shared" si="7"/>
        <v>#N/A</v>
      </c>
      <c r="M39" s="374" t="e">
        <f t="shared" si="7"/>
        <v>#N/A</v>
      </c>
      <c r="N39" s="374" t="e">
        <f t="shared" si="7"/>
        <v>#N/A</v>
      </c>
      <c r="O39" s="374" t="e">
        <f t="shared" si="7"/>
        <v>#N/A</v>
      </c>
      <c r="P39" s="374" t="e">
        <f t="shared" si="7"/>
        <v>#N/A</v>
      </c>
      <c r="Q39" s="374" t="e">
        <f t="shared" si="7"/>
        <v>#N/A</v>
      </c>
      <c r="R39" s="374" t="e">
        <f t="shared" si="7"/>
        <v>#N/A</v>
      </c>
      <c r="S39" s="374" t="e">
        <f t="shared" si="7"/>
        <v>#N/A</v>
      </c>
      <c r="T39" s="374" t="e">
        <f t="shared" si="7"/>
        <v>#N/A</v>
      </c>
      <c r="U39" s="374" t="e">
        <f t="shared" si="7"/>
        <v>#N/A</v>
      </c>
      <c r="V39" s="374" t="e">
        <f t="shared" si="7"/>
        <v>#N/A</v>
      </c>
      <c r="W39" s="374" t="e">
        <f t="shared" si="7"/>
        <v>#N/A</v>
      </c>
      <c r="X39" s="374" t="e">
        <f t="shared" si="7"/>
        <v>#N/A</v>
      </c>
      <c r="Y39" s="374" t="e">
        <f t="shared" si="7"/>
        <v>#N/A</v>
      </c>
      <c r="AB39" s="256" t="s">
        <v>1009</v>
      </c>
      <c r="AC39" s="256"/>
    </row>
    <row r="40" spans="1:29" s="9" customFormat="1" x14ac:dyDescent="0.3">
      <c r="A40" s="9" t="str">
        <f t="shared" si="0"/>
        <v>UMWmAU50</v>
      </c>
      <c r="B40" s="8" t="s">
        <v>1018</v>
      </c>
      <c r="C40" s="9" t="s">
        <v>1034</v>
      </c>
      <c r="D40" s="9">
        <v>50</v>
      </c>
      <c r="E40" s="937" t="str">
        <f t="shared" si="1"/>
        <v>Indicator 1: Additional Unmarried Users</v>
      </c>
      <c r="F40" s="937"/>
      <c r="G40" s="20">
        <v>0</v>
      </c>
      <c r="H40" s="374" t="e">
        <f>H37-$G$37</f>
        <v>#N/A</v>
      </c>
      <c r="I40" s="374" t="e">
        <f t="shared" ref="I40:Y40" si="8">I37-$G$37</f>
        <v>#N/A</v>
      </c>
      <c r="J40" s="374" t="e">
        <f t="shared" si="8"/>
        <v>#N/A</v>
      </c>
      <c r="K40" s="374" t="e">
        <f t="shared" si="8"/>
        <v>#N/A</v>
      </c>
      <c r="L40" s="374" t="e">
        <f t="shared" si="8"/>
        <v>#N/A</v>
      </c>
      <c r="M40" s="374" t="e">
        <f t="shared" si="8"/>
        <v>#N/A</v>
      </c>
      <c r="N40" s="374" t="e">
        <f t="shared" si="8"/>
        <v>#N/A</v>
      </c>
      <c r="O40" s="374" t="e">
        <f t="shared" si="8"/>
        <v>#N/A</v>
      </c>
      <c r="P40" s="374" t="e">
        <f t="shared" si="8"/>
        <v>#N/A</v>
      </c>
      <c r="Q40" s="374" t="e">
        <f t="shared" si="8"/>
        <v>#N/A</v>
      </c>
      <c r="R40" s="374" t="e">
        <f t="shared" si="8"/>
        <v>#N/A</v>
      </c>
      <c r="S40" s="374" t="e">
        <f t="shared" si="8"/>
        <v>#N/A</v>
      </c>
      <c r="T40" s="374" t="e">
        <f t="shared" si="8"/>
        <v>#N/A</v>
      </c>
      <c r="U40" s="374" t="e">
        <f t="shared" si="8"/>
        <v>#N/A</v>
      </c>
      <c r="V40" s="374" t="e">
        <f t="shared" si="8"/>
        <v>#N/A</v>
      </c>
      <c r="W40" s="374" t="e">
        <f t="shared" si="8"/>
        <v>#N/A</v>
      </c>
      <c r="X40" s="374" t="e">
        <f t="shared" si="8"/>
        <v>#N/A</v>
      </c>
      <c r="Y40" s="374" t="e">
        <f t="shared" si="8"/>
        <v>#N/A</v>
      </c>
      <c r="AB40" s="256" t="s">
        <v>1011</v>
      </c>
      <c r="AC40" s="256"/>
    </row>
    <row r="41" spans="1:29" s="9" customFormat="1" x14ac:dyDescent="0.3">
      <c r="B41" s="8"/>
      <c r="E41" s="691"/>
      <c r="F41" s="691"/>
      <c r="G41" s="4"/>
      <c r="H41" s="236"/>
      <c r="I41" s="236"/>
      <c r="J41" s="236"/>
      <c r="K41" s="236"/>
      <c r="L41" s="236"/>
      <c r="M41" s="236"/>
      <c r="N41" s="236"/>
      <c r="O41" s="236"/>
      <c r="P41" s="236"/>
      <c r="Q41" s="236"/>
      <c r="R41" s="236"/>
      <c r="S41" s="236"/>
      <c r="T41" s="236"/>
      <c r="U41" s="236"/>
      <c r="V41" s="236"/>
      <c r="W41" s="236"/>
      <c r="X41" s="236"/>
      <c r="Y41" s="236"/>
      <c r="AB41" s="454"/>
      <c r="AC41" s="454"/>
    </row>
    <row r="42" spans="1:29" s="9" customFormat="1" x14ac:dyDescent="0.3">
      <c r="B42" s="8"/>
      <c r="E42" s="691"/>
      <c r="F42" s="691"/>
      <c r="G42" s="236" t="e">
        <f>SUM(G36:G37)</f>
        <v>#N/A</v>
      </c>
      <c r="H42" s="236" t="e">
        <f t="shared" ref="H42:Y42" si="9">SUM(H36:H37)</f>
        <v>#N/A</v>
      </c>
      <c r="I42" s="236" t="e">
        <f t="shared" si="9"/>
        <v>#N/A</v>
      </c>
      <c r="J42" s="236" t="e">
        <f t="shared" si="9"/>
        <v>#N/A</v>
      </c>
      <c r="K42" s="236" t="e">
        <f t="shared" si="9"/>
        <v>#N/A</v>
      </c>
      <c r="L42" s="236" t="e">
        <f t="shared" si="9"/>
        <v>#N/A</v>
      </c>
      <c r="M42" s="236" t="e">
        <f t="shared" si="9"/>
        <v>#N/A</v>
      </c>
      <c r="N42" s="236" t="e">
        <f t="shared" si="9"/>
        <v>#N/A</v>
      </c>
      <c r="O42" s="236" t="e">
        <f t="shared" si="9"/>
        <v>#N/A</v>
      </c>
      <c r="P42" s="236" t="e">
        <f t="shared" si="9"/>
        <v>#N/A</v>
      </c>
      <c r="Q42" s="236" t="e">
        <f t="shared" si="9"/>
        <v>#N/A</v>
      </c>
      <c r="R42" s="236" t="e">
        <f t="shared" si="9"/>
        <v>#N/A</v>
      </c>
      <c r="S42" s="236" t="e">
        <f t="shared" si="9"/>
        <v>#N/A</v>
      </c>
      <c r="T42" s="236" t="e">
        <f t="shared" si="9"/>
        <v>#N/A</v>
      </c>
      <c r="U42" s="236" t="e">
        <f t="shared" si="9"/>
        <v>#N/A</v>
      </c>
      <c r="V42" s="236" t="e">
        <f>SUM(V36:V37)</f>
        <v>#N/A</v>
      </c>
      <c r="W42" s="236" t="e">
        <f t="shared" si="9"/>
        <v>#N/A</v>
      </c>
      <c r="X42" s="236" t="e">
        <f t="shared" si="9"/>
        <v>#N/A</v>
      </c>
      <c r="Y42" s="236" t="e">
        <f t="shared" si="9"/>
        <v>#N/A</v>
      </c>
      <c r="AB42" s="454"/>
      <c r="AC42" s="454"/>
    </row>
    <row r="43" spans="1:29" s="9" customFormat="1" x14ac:dyDescent="0.3">
      <c r="B43" s="8"/>
      <c r="E43" s="691"/>
      <c r="F43" s="691" t="s">
        <v>1053</v>
      </c>
      <c r="G43" s="543" t="e">
        <f>G42/G29</f>
        <v>#N/A</v>
      </c>
      <c r="H43" s="543" t="e">
        <f t="shared" ref="H43:Y43" si="10">H42/H29</f>
        <v>#N/A</v>
      </c>
      <c r="I43" s="543" t="e">
        <f t="shared" si="10"/>
        <v>#N/A</v>
      </c>
      <c r="J43" s="543" t="e">
        <f t="shared" si="10"/>
        <v>#N/A</v>
      </c>
      <c r="K43" s="543" t="e">
        <f t="shared" si="10"/>
        <v>#N/A</v>
      </c>
      <c r="L43" s="543" t="e">
        <f t="shared" si="10"/>
        <v>#N/A</v>
      </c>
      <c r="M43" s="543" t="e">
        <f t="shared" si="10"/>
        <v>#N/A</v>
      </c>
      <c r="N43" s="543" t="e">
        <f t="shared" si="10"/>
        <v>#N/A</v>
      </c>
      <c r="O43" s="543" t="e">
        <f t="shared" si="10"/>
        <v>#N/A</v>
      </c>
      <c r="P43" s="543" t="e">
        <f t="shared" si="10"/>
        <v>#N/A</v>
      </c>
      <c r="Q43" s="543" t="e">
        <f t="shared" si="10"/>
        <v>#N/A</v>
      </c>
      <c r="R43" s="543" t="e">
        <f t="shared" si="10"/>
        <v>#N/A</v>
      </c>
      <c r="S43" s="543" t="e">
        <f t="shared" si="10"/>
        <v>#N/A</v>
      </c>
      <c r="T43" s="543" t="e">
        <f t="shared" si="10"/>
        <v>#N/A</v>
      </c>
      <c r="U43" s="543" t="e">
        <f t="shared" si="10"/>
        <v>#N/A</v>
      </c>
      <c r="V43" s="543" t="e">
        <f>V42/V29</f>
        <v>#N/A</v>
      </c>
      <c r="W43" s="543" t="e">
        <f t="shared" si="10"/>
        <v>#N/A</v>
      </c>
      <c r="X43" s="543" t="e">
        <f t="shared" si="10"/>
        <v>#N/A</v>
      </c>
      <c r="Y43" s="543" t="e">
        <f t="shared" si="10"/>
        <v>#N/A</v>
      </c>
      <c r="AB43" s="454"/>
      <c r="AC43" s="454"/>
    </row>
    <row r="44" spans="1:29" s="9" customFormat="1" x14ac:dyDescent="0.3">
      <c r="B44" s="8"/>
      <c r="E44" s="691"/>
      <c r="F44" s="691" t="s">
        <v>1054</v>
      </c>
      <c r="G44" s="543">
        <f>G23</f>
        <v>0</v>
      </c>
      <c r="H44" s="543">
        <f t="shared" ref="H44:Y44" si="11">H23</f>
        <v>0</v>
      </c>
      <c r="I44" s="543">
        <f t="shared" si="11"/>
        <v>0</v>
      </c>
      <c r="J44" s="543">
        <f t="shared" si="11"/>
        <v>0</v>
      </c>
      <c r="K44" s="543">
        <f t="shared" si="11"/>
        <v>0</v>
      </c>
      <c r="L44" s="543">
        <f t="shared" si="11"/>
        <v>0</v>
      </c>
      <c r="M44" s="543">
        <f t="shared" si="11"/>
        <v>0</v>
      </c>
      <c r="N44" s="543">
        <f t="shared" si="11"/>
        <v>0</v>
      </c>
      <c r="O44" s="543">
        <f t="shared" si="11"/>
        <v>0</v>
      </c>
      <c r="P44" s="543">
        <f t="shared" si="11"/>
        <v>0</v>
      </c>
      <c r="Q44" s="543">
        <f t="shared" si="11"/>
        <v>0</v>
      </c>
      <c r="R44" s="543">
        <f t="shared" si="11"/>
        <v>0</v>
      </c>
      <c r="S44" s="543">
        <f t="shared" si="11"/>
        <v>0</v>
      </c>
      <c r="T44" s="543">
        <f t="shared" si="11"/>
        <v>0</v>
      </c>
      <c r="U44" s="543">
        <f t="shared" si="11"/>
        <v>0</v>
      </c>
      <c r="V44" s="543">
        <f t="shared" si="11"/>
        <v>0</v>
      </c>
      <c r="W44" s="543">
        <f t="shared" si="11"/>
        <v>0</v>
      </c>
      <c r="X44" s="543">
        <f t="shared" si="11"/>
        <v>0</v>
      </c>
      <c r="Y44" s="543">
        <f t="shared" si="11"/>
        <v>0</v>
      </c>
      <c r="AB44" s="454"/>
      <c r="AC44" s="454"/>
    </row>
    <row r="45" spans="1:29" x14ac:dyDescent="0.3">
      <c r="G45" s="694" t="e">
        <f>G43-G44</f>
        <v>#N/A</v>
      </c>
      <c r="H45" s="694" t="e">
        <f t="shared" ref="H45:Y45" si="12">H43-H44</f>
        <v>#N/A</v>
      </c>
      <c r="I45" s="694" t="e">
        <f t="shared" si="12"/>
        <v>#N/A</v>
      </c>
      <c r="J45" s="694" t="e">
        <f t="shared" si="12"/>
        <v>#N/A</v>
      </c>
      <c r="K45" s="694" t="e">
        <f t="shared" si="12"/>
        <v>#N/A</v>
      </c>
      <c r="L45" s="694" t="e">
        <f t="shared" si="12"/>
        <v>#N/A</v>
      </c>
      <c r="M45" s="694" t="e">
        <f t="shared" si="12"/>
        <v>#N/A</v>
      </c>
      <c r="N45" s="694" t="e">
        <f t="shared" si="12"/>
        <v>#N/A</v>
      </c>
      <c r="O45" s="694" t="e">
        <f t="shared" si="12"/>
        <v>#N/A</v>
      </c>
      <c r="P45" s="694" t="e">
        <f t="shared" si="12"/>
        <v>#N/A</v>
      </c>
      <c r="Q45" s="694" t="e">
        <f t="shared" si="12"/>
        <v>#N/A</v>
      </c>
      <c r="R45" s="694" t="e">
        <f t="shared" si="12"/>
        <v>#N/A</v>
      </c>
      <c r="S45" s="694" t="e">
        <f t="shared" si="12"/>
        <v>#N/A</v>
      </c>
      <c r="T45" s="694" t="e">
        <f t="shared" si="12"/>
        <v>#N/A</v>
      </c>
      <c r="U45" s="694" t="e">
        <f t="shared" si="12"/>
        <v>#N/A</v>
      </c>
      <c r="V45" s="694" t="e">
        <f t="shared" si="12"/>
        <v>#N/A</v>
      </c>
      <c r="W45" s="694" t="e">
        <f t="shared" si="12"/>
        <v>#N/A</v>
      </c>
      <c r="X45" s="694" t="e">
        <f t="shared" si="12"/>
        <v>#N/A</v>
      </c>
      <c r="Y45" s="694" t="e">
        <f t="shared" si="12"/>
        <v>#N/A</v>
      </c>
    </row>
    <row r="46" spans="1:29" x14ac:dyDescent="0.3">
      <c r="G46" s="55" t="e">
        <f>G36+G37-G35</f>
        <v>#N/A</v>
      </c>
      <c r="H46" s="55" t="e">
        <f t="shared" ref="H46:Y46" si="13">H36+H37-H35</f>
        <v>#N/A</v>
      </c>
      <c r="I46" s="55" t="e">
        <f t="shared" si="13"/>
        <v>#N/A</v>
      </c>
      <c r="J46" s="55" t="e">
        <f t="shared" si="13"/>
        <v>#N/A</v>
      </c>
      <c r="K46" s="55" t="e">
        <f t="shared" si="13"/>
        <v>#N/A</v>
      </c>
      <c r="L46" s="55" t="e">
        <f t="shared" si="13"/>
        <v>#N/A</v>
      </c>
      <c r="M46" s="55" t="e">
        <f t="shared" si="13"/>
        <v>#N/A</v>
      </c>
      <c r="N46" s="55" t="e">
        <f t="shared" si="13"/>
        <v>#N/A</v>
      </c>
      <c r="O46" s="55" t="e">
        <f t="shared" si="13"/>
        <v>#N/A</v>
      </c>
      <c r="P46" s="55" t="e">
        <f t="shared" si="13"/>
        <v>#N/A</v>
      </c>
      <c r="Q46" s="55" t="e">
        <f t="shared" si="13"/>
        <v>#N/A</v>
      </c>
      <c r="R46" s="55" t="e">
        <f t="shared" si="13"/>
        <v>#N/A</v>
      </c>
      <c r="S46" s="55" t="e">
        <f t="shared" si="13"/>
        <v>#N/A</v>
      </c>
      <c r="T46" s="55" t="e">
        <f t="shared" si="13"/>
        <v>#N/A</v>
      </c>
      <c r="U46" s="55" t="e">
        <f t="shared" si="13"/>
        <v>#N/A</v>
      </c>
      <c r="V46" s="55" t="e">
        <f t="shared" si="13"/>
        <v>#N/A</v>
      </c>
      <c r="W46" s="55" t="e">
        <f t="shared" si="13"/>
        <v>#N/A</v>
      </c>
      <c r="X46" s="55" t="e">
        <f t="shared" si="13"/>
        <v>#N/A</v>
      </c>
      <c r="Y46" s="55" t="e">
        <f t="shared" si="13"/>
        <v>#N/A</v>
      </c>
    </row>
    <row r="47" spans="1:29" x14ac:dyDescent="0.3">
      <c r="G47" s="693" t="e">
        <f>G46/G29</f>
        <v>#N/A</v>
      </c>
      <c r="H47" s="693" t="e">
        <f t="shared" ref="H47:Y47" si="14">H46/H29</f>
        <v>#N/A</v>
      </c>
      <c r="I47" s="693" t="e">
        <f t="shared" si="14"/>
        <v>#N/A</v>
      </c>
      <c r="J47" s="693" t="e">
        <f t="shared" si="14"/>
        <v>#N/A</v>
      </c>
      <c r="K47" s="693" t="e">
        <f t="shared" si="14"/>
        <v>#N/A</v>
      </c>
      <c r="L47" s="693" t="e">
        <f t="shared" si="14"/>
        <v>#N/A</v>
      </c>
      <c r="M47" s="693" t="e">
        <f t="shared" si="14"/>
        <v>#N/A</v>
      </c>
      <c r="N47" s="693" t="e">
        <f t="shared" si="14"/>
        <v>#N/A</v>
      </c>
      <c r="O47" s="693" t="e">
        <f t="shared" si="14"/>
        <v>#N/A</v>
      </c>
      <c r="P47" s="693" t="e">
        <f t="shared" si="14"/>
        <v>#N/A</v>
      </c>
      <c r="Q47" s="693" t="e">
        <f t="shared" si="14"/>
        <v>#N/A</v>
      </c>
      <c r="R47" s="693" t="e">
        <f t="shared" si="14"/>
        <v>#N/A</v>
      </c>
      <c r="S47" s="693" t="e">
        <f t="shared" si="14"/>
        <v>#N/A</v>
      </c>
      <c r="T47" s="693" t="e">
        <f t="shared" si="14"/>
        <v>#N/A</v>
      </c>
      <c r="U47" s="693" t="e">
        <f t="shared" si="14"/>
        <v>#N/A</v>
      </c>
      <c r="V47" s="693" t="e">
        <f t="shared" si="14"/>
        <v>#N/A</v>
      </c>
      <c r="W47" s="693" t="e">
        <f t="shared" si="14"/>
        <v>#N/A</v>
      </c>
      <c r="X47" s="693" t="e">
        <f t="shared" si="14"/>
        <v>#N/A</v>
      </c>
      <c r="Y47" s="693" t="e">
        <f t="shared" si="14"/>
        <v>#N/A</v>
      </c>
    </row>
    <row r="49" spans="5:29" x14ac:dyDescent="0.3">
      <c r="E49" s="938"/>
      <c r="F49" s="938"/>
      <c r="G49" s="375" t="e">
        <f>IF(OR(G23="", G23=0),  G9*#REF!, G23)</f>
        <v>#REF!</v>
      </c>
      <c r="H49" s="375" t="e">
        <f>IF(OR(H23="", H23=0),  H9*#REF!, H23)</f>
        <v>#REF!</v>
      </c>
      <c r="I49" s="375" t="e">
        <f>IF(OR(I23="", I23=0),  I9*#REF!, I23)</f>
        <v>#REF!</v>
      </c>
      <c r="J49" s="375" t="e">
        <f>IF(OR(J23="", J23=0),  J9*#REF!, J23)</f>
        <v>#REF!</v>
      </c>
      <c r="K49" s="375" t="e">
        <f>IF(OR(K23="", K23=0),  K9*#REF!, K23)</f>
        <v>#REF!</v>
      </c>
      <c r="L49" s="375" t="e">
        <f>IF(OR(L23="", L23=0),  L9*#REF!, L23)</f>
        <v>#REF!</v>
      </c>
      <c r="M49" s="375" t="e">
        <f>IF(OR(M23="", M23=0),  M9*#REF!, M23)</f>
        <v>#REF!</v>
      </c>
      <c r="N49" s="375" t="e">
        <f>IF(OR(N23="", N23=0),  N9*#REF!, N23)</f>
        <v>#REF!</v>
      </c>
      <c r="O49" s="375" t="e">
        <f>IF(OR(O23="", O23=0),  O9*#REF!, O23)</f>
        <v>#REF!</v>
      </c>
      <c r="P49" s="375" t="e">
        <f>IF(OR(P23="", P23=0),  P9*#REF!, P23)</f>
        <v>#REF!</v>
      </c>
      <c r="Q49" s="375" t="e">
        <f>IF(OR(Q23="", Q23=0),  Q9*#REF!, Q23)</f>
        <v>#REF!</v>
      </c>
      <c r="R49" s="375" t="e">
        <f>IF(OR(R23="", R23=0),  R9*#REF!, R23)</f>
        <v>#REF!</v>
      </c>
      <c r="S49" s="375" t="e">
        <f>IF(OR(S23="", S23=0),  S9*#REF!, S23)</f>
        <v>#REF!</v>
      </c>
      <c r="T49" s="375" t="e">
        <f>IF(OR(T23="", T23=0),  T9*#REF!, T23)</f>
        <v>#REF!</v>
      </c>
      <c r="U49" s="375" t="e">
        <f>IF(OR(U23="", U23=0),  U9*#REF!, U23)</f>
        <v>#REF!</v>
      </c>
      <c r="V49" s="375" t="e">
        <f>IF(OR(V23="", V23=0),  V9*#REF!, V23)</f>
        <v>#REF!</v>
      </c>
      <c r="W49" s="375" t="e">
        <f>IF(OR(W23="", W23=0),  W9*#REF!, W23)</f>
        <v>#REF!</v>
      </c>
      <c r="X49" s="375" t="e">
        <f>IF(OR(X23="", X23=0),  X9*#REF!, X23)</f>
        <v>#REF!</v>
      </c>
      <c r="Y49" s="375" t="e">
        <f>IF(OR(Y23="", Y23=0),  Y9*#REF!, Y23)</f>
        <v>#REF!</v>
      </c>
      <c r="AB49" t="s">
        <v>739</v>
      </c>
      <c r="AC49" t="s">
        <v>740</v>
      </c>
    </row>
    <row r="50" spans="5:29" x14ac:dyDescent="0.3">
      <c r="E50" s="938" t="str">
        <f>"Indicator 3 : Unmet Need for Modern Methods "&amp;IF(OR(G24="", G24=0), AC50, AB50)</f>
        <v>Indicator 3 : Unmet Need for Modern Methods (MW)</v>
      </c>
      <c r="F50" s="938"/>
      <c r="G50" s="375">
        <f t="shared" ref="G50:Y50" si="15">IF(OR(G24=0, G24=""), G10, G24)</f>
        <v>0</v>
      </c>
      <c r="H50" s="375">
        <f t="shared" si="15"/>
        <v>0</v>
      </c>
      <c r="I50" s="375">
        <f t="shared" si="15"/>
        <v>0</v>
      </c>
      <c r="J50" s="375">
        <f t="shared" si="15"/>
        <v>0</v>
      </c>
      <c r="K50" s="375">
        <f t="shared" si="15"/>
        <v>0</v>
      </c>
      <c r="L50" s="375">
        <f t="shared" si="15"/>
        <v>0</v>
      </c>
      <c r="M50" s="375">
        <f t="shared" si="15"/>
        <v>0</v>
      </c>
      <c r="N50" s="375">
        <f t="shared" si="15"/>
        <v>0</v>
      </c>
      <c r="O50" s="375">
        <f t="shared" si="15"/>
        <v>0</v>
      </c>
      <c r="P50" s="375">
        <f t="shared" si="15"/>
        <v>0</v>
      </c>
      <c r="Q50" s="375">
        <f t="shared" si="15"/>
        <v>0</v>
      </c>
      <c r="R50" s="375">
        <f t="shared" si="15"/>
        <v>0</v>
      </c>
      <c r="S50" s="375">
        <f t="shared" si="15"/>
        <v>0</v>
      </c>
      <c r="T50" s="375">
        <f t="shared" si="15"/>
        <v>0</v>
      </c>
      <c r="U50" s="375">
        <f t="shared" si="15"/>
        <v>0</v>
      </c>
      <c r="V50" s="375">
        <f t="shared" si="15"/>
        <v>0</v>
      </c>
      <c r="W50" s="375">
        <f t="shared" si="15"/>
        <v>0</v>
      </c>
      <c r="X50" s="375">
        <f t="shared" si="15"/>
        <v>0</v>
      </c>
      <c r="Y50" s="375">
        <f t="shared" si="15"/>
        <v>0</v>
      </c>
      <c r="AB50" t="s">
        <v>739</v>
      </c>
      <c r="AC50" t="s">
        <v>741</v>
      </c>
    </row>
    <row r="51" spans="5:29" ht="29.25" customHeight="1" x14ac:dyDescent="0.3">
      <c r="E51" s="939" t="str">
        <f>"Indicator 4 : Demand Satisfied with Modern Methods "&amp;IF(OR(G25="", G25=0), AC51, AB51)</f>
        <v>Indicator 4 : Demand Satisfied with Modern Methods (MW)</v>
      </c>
      <c r="F51" s="939"/>
      <c r="G51" s="375">
        <f t="shared" ref="G51:Y51" si="16">IF(OR(G25=0, G25=""), G11, G25)</f>
        <v>0</v>
      </c>
      <c r="H51" s="375">
        <f t="shared" si="16"/>
        <v>0</v>
      </c>
      <c r="I51" s="375">
        <f t="shared" si="16"/>
        <v>0</v>
      </c>
      <c r="J51" s="375">
        <f t="shared" si="16"/>
        <v>0</v>
      </c>
      <c r="K51" s="375">
        <f t="shared" si="16"/>
        <v>0</v>
      </c>
      <c r="L51" s="375">
        <f t="shared" si="16"/>
        <v>0</v>
      </c>
      <c r="M51" s="375">
        <f t="shared" si="16"/>
        <v>0</v>
      </c>
      <c r="N51" s="375">
        <f t="shared" si="16"/>
        <v>0</v>
      </c>
      <c r="O51" s="375">
        <f t="shared" si="16"/>
        <v>0</v>
      </c>
      <c r="P51" s="375">
        <f t="shared" si="16"/>
        <v>0</v>
      </c>
      <c r="Q51" s="375">
        <f t="shared" si="16"/>
        <v>0</v>
      </c>
      <c r="R51" s="375">
        <f t="shared" si="16"/>
        <v>0</v>
      </c>
      <c r="S51" s="375">
        <f t="shared" si="16"/>
        <v>0</v>
      </c>
      <c r="T51" s="375">
        <f t="shared" si="16"/>
        <v>0</v>
      </c>
      <c r="U51" s="375">
        <f t="shared" si="16"/>
        <v>0</v>
      </c>
      <c r="V51" s="375">
        <f t="shared" si="16"/>
        <v>0</v>
      </c>
      <c r="W51" s="375">
        <f t="shared" si="16"/>
        <v>0</v>
      </c>
      <c r="X51" s="375">
        <f t="shared" si="16"/>
        <v>0</v>
      </c>
      <c r="Y51" s="375">
        <f t="shared" si="16"/>
        <v>0</v>
      </c>
      <c r="AB51" s="9" t="s">
        <v>739</v>
      </c>
      <c r="AC51" s="9" t="s">
        <v>741</v>
      </c>
    </row>
    <row r="52" spans="5:29" x14ac:dyDescent="0.3">
      <c r="E52" s="935" t="s">
        <v>704</v>
      </c>
      <c r="F52" s="936"/>
      <c r="G52" s="375" t="e">
        <f>IF(OR(G22="", G22=0), G8*'Enter your National Goal'!$K$14, 'Indicator Calculations'!G22)</f>
        <v>#VALUE!</v>
      </c>
      <c r="H52" s="375" t="e">
        <f>IF(OR(H22="", H22=0), H8*'Enter your National Goal'!$K$14, 'Indicator Calculations'!H22)</f>
        <v>#VALUE!</v>
      </c>
      <c r="I52" s="375" t="e">
        <f>IF(OR(I22="", I22=0), I8*'Enter your National Goal'!$K$14, 'Indicator Calculations'!I22)</f>
        <v>#VALUE!</v>
      </c>
      <c r="J52" s="375" t="e">
        <f>IF(OR(J22="", J22=0), J8*'Enter your National Goal'!$K$14, 'Indicator Calculations'!J22)</f>
        <v>#VALUE!</v>
      </c>
      <c r="K52" s="375" t="e">
        <f>IF(OR(K22="", K22=0), K8*'Enter your National Goal'!$K$14, 'Indicator Calculations'!K22)</f>
        <v>#VALUE!</v>
      </c>
      <c r="L52" s="375" t="e">
        <f>IF(OR(L22="", L22=0), L8*'Enter your National Goal'!$K$14, 'Indicator Calculations'!L22)</f>
        <v>#VALUE!</v>
      </c>
      <c r="M52" s="375" t="e">
        <f>IF(OR(M22="", M22=0), M8*'Enter your National Goal'!$K$14, 'Indicator Calculations'!M22)</f>
        <v>#VALUE!</v>
      </c>
      <c r="N52" s="375" t="e">
        <f>IF(OR(N22="", N22=0), N8*'Enter your National Goal'!$K$14, 'Indicator Calculations'!N22)</f>
        <v>#VALUE!</v>
      </c>
      <c r="O52" s="375" t="e">
        <f>IF(OR(O22="", O22=0), O8*'Enter your National Goal'!$K$14, 'Indicator Calculations'!O22)</f>
        <v>#VALUE!</v>
      </c>
      <c r="P52" s="375" t="e">
        <f>IF(OR(P22="", P22=0), P8*'Enter your National Goal'!$K$14, 'Indicator Calculations'!P22)</f>
        <v>#VALUE!</v>
      </c>
      <c r="Q52" s="375" t="e">
        <f>IF(OR(Q22="", Q22=0), Q8*'Enter your National Goal'!$K$14, 'Indicator Calculations'!Q22)</f>
        <v>#VALUE!</v>
      </c>
      <c r="R52" s="375" t="e">
        <f>IF(OR(R22="", R22=0), R8*'Enter your National Goal'!$K$14, 'Indicator Calculations'!R22)</f>
        <v>#VALUE!</v>
      </c>
      <c r="S52" s="375" t="e">
        <f>IF(OR(S22="", S22=0), S8*'Enter your National Goal'!$K$14, 'Indicator Calculations'!S22)</f>
        <v>#VALUE!</v>
      </c>
      <c r="T52" s="375" t="e">
        <f>IF(OR(T22="", T22=0), T8*'Enter your National Goal'!$K$14, 'Indicator Calculations'!T22)</f>
        <v>#VALUE!</v>
      </c>
      <c r="U52" s="375" t="e">
        <f>IF(OR(U22="", U22=0), U8*'Enter your National Goal'!$K$14, 'Indicator Calculations'!U22)</f>
        <v>#VALUE!</v>
      </c>
      <c r="V52" s="375" t="e">
        <f>IF(OR(V22="", V22=0), V8*'Enter your National Goal'!$K$14, 'Indicator Calculations'!V22)</f>
        <v>#VALUE!</v>
      </c>
      <c r="W52" s="375" t="e">
        <f>IF(OR(W22="", W22=0), W8*'Enter your National Goal'!$K$14, 'Indicator Calculations'!W22)</f>
        <v>#VALUE!</v>
      </c>
      <c r="X52" s="375" t="e">
        <f>IF(OR(X22="", X22=0), X8*'Enter your National Goal'!$K$14, 'Indicator Calculations'!X22)</f>
        <v>#VALUE!</v>
      </c>
      <c r="Y52" s="375" t="e">
        <f>IF(OR(Y22="", Y22=0), Y8*'Enter your National Goal'!$K$14, 'Indicator Calculations'!Y22)</f>
        <v>#VALUE!</v>
      </c>
    </row>
    <row r="53" spans="5:29" x14ac:dyDescent="0.3">
      <c r="G53" s="692">
        <f>G9</f>
        <v>0</v>
      </c>
      <c r="H53" s="692">
        <f t="shared" ref="H53:Y53" si="17">H9</f>
        <v>0</v>
      </c>
      <c r="I53" s="692">
        <f t="shared" si="17"/>
        <v>0</v>
      </c>
      <c r="J53" s="692">
        <f t="shared" si="17"/>
        <v>0</v>
      </c>
      <c r="K53" s="692">
        <f t="shared" si="17"/>
        <v>0</v>
      </c>
      <c r="L53" s="692">
        <f t="shared" si="17"/>
        <v>0</v>
      </c>
      <c r="M53" s="692">
        <f t="shared" si="17"/>
        <v>0</v>
      </c>
      <c r="N53" s="692">
        <f t="shared" si="17"/>
        <v>0</v>
      </c>
      <c r="O53" s="692">
        <f t="shared" si="17"/>
        <v>0</v>
      </c>
      <c r="P53" s="692">
        <f t="shared" si="17"/>
        <v>0</v>
      </c>
      <c r="Q53" s="692">
        <f t="shared" si="17"/>
        <v>0</v>
      </c>
      <c r="R53" s="692">
        <f t="shared" si="17"/>
        <v>0</v>
      </c>
      <c r="S53" s="692">
        <f t="shared" si="17"/>
        <v>0</v>
      </c>
      <c r="T53" s="692">
        <f t="shared" si="17"/>
        <v>0</v>
      </c>
      <c r="U53" s="692">
        <f t="shared" si="17"/>
        <v>0</v>
      </c>
      <c r="V53" s="692">
        <f t="shared" si="17"/>
        <v>0</v>
      </c>
      <c r="W53" s="692">
        <f t="shared" si="17"/>
        <v>0</v>
      </c>
      <c r="X53" s="692">
        <f t="shared" si="17"/>
        <v>0</v>
      </c>
      <c r="Y53" s="692">
        <f t="shared" si="17"/>
        <v>0</v>
      </c>
    </row>
    <row r="54" spans="5:29" x14ac:dyDescent="0.3">
      <c r="G54" s="692" t="e">
        <f>G57/G30</f>
        <v>#N/A</v>
      </c>
      <c r="H54" s="692" t="e">
        <f t="shared" ref="H54:Y54" si="18">H57/H30</f>
        <v>#N/A</v>
      </c>
      <c r="I54" s="692" t="e">
        <f t="shared" si="18"/>
        <v>#N/A</v>
      </c>
      <c r="J54" s="692" t="e">
        <f t="shared" si="18"/>
        <v>#N/A</v>
      </c>
      <c r="K54" s="692" t="e">
        <f t="shared" si="18"/>
        <v>#N/A</v>
      </c>
      <c r="L54" s="692" t="e">
        <f t="shared" si="18"/>
        <v>#N/A</v>
      </c>
      <c r="M54" s="692" t="e">
        <f t="shared" si="18"/>
        <v>#N/A</v>
      </c>
      <c r="N54" s="692" t="e">
        <f t="shared" si="18"/>
        <v>#N/A</v>
      </c>
      <c r="O54" s="692" t="e">
        <f t="shared" si="18"/>
        <v>#N/A</v>
      </c>
      <c r="P54" s="692" t="e">
        <f t="shared" si="18"/>
        <v>#N/A</v>
      </c>
      <c r="Q54" s="692" t="e">
        <f t="shared" si="18"/>
        <v>#N/A</v>
      </c>
      <c r="R54" s="692" t="e">
        <f t="shared" si="18"/>
        <v>#N/A</v>
      </c>
      <c r="S54" s="692" t="e">
        <f t="shared" si="18"/>
        <v>#N/A</v>
      </c>
      <c r="T54" s="692" t="e">
        <f t="shared" si="18"/>
        <v>#N/A</v>
      </c>
      <c r="U54" s="692" t="e">
        <f t="shared" si="18"/>
        <v>#N/A</v>
      </c>
      <c r="V54" s="692" t="e">
        <f t="shared" si="18"/>
        <v>#N/A</v>
      </c>
      <c r="W54" s="692" t="e">
        <f t="shared" si="18"/>
        <v>#N/A</v>
      </c>
      <c r="X54" s="692" t="e">
        <f t="shared" si="18"/>
        <v>#N/A</v>
      </c>
      <c r="Y54" s="692" t="e">
        <f t="shared" si="18"/>
        <v>#N/A</v>
      </c>
    </row>
    <row r="55" spans="5:29" x14ac:dyDescent="0.3">
      <c r="G55" s="692">
        <f>G16</f>
        <v>0</v>
      </c>
      <c r="H55" s="692">
        <f t="shared" ref="H55:Y55" si="19">H16</f>
        <v>0</v>
      </c>
      <c r="I55" s="692">
        <f t="shared" si="19"/>
        <v>0</v>
      </c>
      <c r="J55" s="692">
        <f t="shared" si="19"/>
        <v>0</v>
      </c>
      <c r="K55" s="692">
        <f t="shared" si="19"/>
        <v>0</v>
      </c>
      <c r="L55" s="692">
        <f t="shared" si="19"/>
        <v>0</v>
      </c>
      <c r="M55" s="692">
        <f t="shared" si="19"/>
        <v>0</v>
      </c>
      <c r="N55" s="692">
        <f t="shared" si="19"/>
        <v>0</v>
      </c>
      <c r="O55" s="692">
        <f t="shared" si="19"/>
        <v>0</v>
      </c>
      <c r="P55" s="692">
        <f t="shared" si="19"/>
        <v>0</v>
      </c>
      <c r="Q55" s="692">
        <f t="shared" si="19"/>
        <v>0</v>
      </c>
      <c r="R55" s="692">
        <f t="shared" si="19"/>
        <v>0</v>
      </c>
      <c r="S55" s="692">
        <f t="shared" si="19"/>
        <v>0</v>
      </c>
      <c r="T55" s="692">
        <f t="shared" si="19"/>
        <v>0</v>
      </c>
      <c r="U55" s="692">
        <f t="shared" si="19"/>
        <v>0</v>
      </c>
      <c r="V55" s="692">
        <f t="shared" si="19"/>
        <v>0</v>
      </c>
      <c r="W55" s="692">
        <f t="shared" si="19"/>
        <v>0</v>
      </c>
      <c r="X55" s="692">
        <f t="shared" si="19"/>
        <v>0</v>
      </c>
      <c r="Y55" s="692">
        <f t="shared" si="19"/>
        <v>0</v>
      </c>
    </row>
    <row r="56" spans="5:29" x14ac:dyDescent="0.3">
      <c r="G56" s="692" t="e">
        <f>G58/G31</f>
        <v>#N/A</v>
      </c>
      <c r="H56" s="692" t="e">
        <f t="shared" ref="H56:Y56" si="20">H58/H31</f>
        <v>#N/A</v>
      </c>
      <c r="I56" s="692" t="e">
        <f t="shared" si="20"/>
        <v>#N/A</v>
      </c>
      <c r="J56" s="692" t="e">
        <f t="shared" si="20"/>
        <v>#N/A</v>
      </c>
      <c r="K56" s="692" t="e">
        <f t="shared" si="20"/>
        <v>#N/A</v>
      </c>
      <c r="L56" s="692" t="e">
        <f t="shared" si="20"/>
        <v>#N/A</v>
      </c>
      <c r="M56" s="692" t="e">
        <f t="shared" si="20"/>
        <v>#N/A</v>
      </c>
      <c r="N56" s="692" t="e">
        <f t="shared" si="20"/>
        <v>#N/A</v>
      </c>
      <c r="O56" s="692" t="e">
        <f t="shared" si="20"/>
        <v>#N/A</v>
      </c>
      <c r="P56" s="692" t="e">
        <f t="shared" si="20"/>
        <v>#N/A</v>
      </c>
      <c r="Q56" s="692" t="e">
        <f t="shared" si="20"/>
        <v>#N/A</v>
      </c>
      <c r="R56" s="692" t="e">
        <f t="shared" si="20"/>
        <v>#N/A</v>
      </c>
      <c r="S56" s="692" t="e">
        <f t="shared" si="20"/>
        <v>#N/A</v>
      </c>
      <c r="T56" s="692" t="e">
        <f t="shared" si="20"/>
        <v>#N/A</v>
      </c>
      <c r="U56" s="692" t="e">
        <f t="shared" si="20"/>
        <v>#N/A</v>
      </c>
      <c r="V56" s="692" t="e">
        <f t="shared" si="20"/>
        <v>#N/A</v>
      </c>
      <c r="W56" s="692" t="e">
        <f t="shared" si="20"/>
        <v>#N/A</v>
      </c>
      <c r="X56" s="692" t="e">
        <f t="shared" si="20"/>
        <v>#N/A</v>
      </c>
      <c r="Y56" s="692" t="e">
        <f t="shared" si="20"/>
        <v>#N/A</v>
      </c>
    </row>
    <row r="57" spans="5:29" x14ac:dyDescent="0.3">
      <c r="G57" s="373">
        <v>317562.47137162997</v>
      </c>
      <c r="H57" s="373">
        <v>375351.82436522702</v>
      </c>
      <c r="I57" s="373">
        <v>445816.09643130802</v>
      </c>
      <c r="J57" s="373">
        <v>510155.87424755498</v>
      </c>
      <c r="K57" s="373">
        <v>575279.075899577</v>
      </c>
      <c r="L57" s="373">
        <v>637045.35204396804</v>
      </c>
      <c r="M57" s="373">
        <v>666297.77553796198</v>
      </c>
      <c r="N57" s="373">
        <v>697436.66311131103</v>
      </c>
      <c r="O57" s="373">
        <v>736983.12542063196</v>
      </c>
      <c r="P57" s="373">
        <v>782031.54574309604</v>
      </c>
      <c r="Q57" s="373">
        <v>829845.32233205601</v>
      </c>
      <c r="R57" s="373">
        <v>879026.89747500501</v>
      </c>
      <c r="S57" s="373">
        <v>929659.548684131</v>
      </c>
      <c r="T57" s="373">
        <v>982323.01756063802</v>
      </c>
      <c r="U57" s="373">
        <v>1039820.342628</v>
      </c>
      <c r="V57" s="373">
        <v>1094092.2670036601</v>
      </c>
      <c r="W57" s="373">
        <v>1148335.3341211199</v>
      </c>
      <c r="X57" s="373">
        <v>1206593.58347702</v>
      </c>
      <c r="Y57" s="373">
        <v>1264309.4835300699</v>
      </c>
    </row>
    <row r="58" spans="5:29" x14ac:dyDescent="0.3">
      <c r="G58" s="373">
        <v>35348.130445557901</v>
      </c>
      <c r="H58" s="373">
        <v>38589.347095670302</v>
      </c>
      <c r="I58" s="373">
        <v>43352.4876361489</v>
      </c>
      <c r="J58" s="373">
        <v>47491.107045792603</v>
      </c>
      <c r="K58" s="373">
        <v>50693.607800974503</v>
      </c>
      <c r="L58" s="373">
        <v>54236.111088570797</v>
      </c>
      <c r="M58" s="373">
        <v>55548.240083003002</v>
      </c>
      <c r="N58" s="373">
        <v>55551.546885943098</v>
      </c>
      <c r="O58" s="373">
        <v>57473.564195188803</v>
      </c>
      <c r="P58" s="373">
        <v>60212.618804431397</v>
      </c>
      <c r="Q58" s="373">
        <v>63597.322398150602</v>
      </c>
      <c r="R58" s="373">
        <v>67060.3984231629</v>
      </c>
      <c r="S58" s="373">
        <v>70637.503493223499</v>
      </c>
      <c r="T58" s="373">
        <v>74283.802495283206</v>
      </c>
      <c r="U58" s="373">
        <v>78356.446115114901</v>
      </c>
      <c r="V58" s="373">
        <v>83752.699509796104</v>
      </c>
      <c r="W58" s="373">
        <v>87239.814224210597</v>
      </c>
      <c r="X58" s="373">
        <v>92006.725326660904</v>
      </c>
      <c r="Y58" s="373">
        <v>97847.430265187795</v>
      </c>
    </row>
    <row r="59" spans="5:29" x14ac:dyDescent="0.3">
      <c r="G59" s="373"/>
      <c r="H59" s="373"/>
      <c r="I59" s="373"/>
      <c r="J59" s="373"/>
      <c r="K59" s="373"/>
      <c r="L59" s="373"/>
      <c r="M59" s="373"/>
      <c r="N59" s="373"/>
      <c r="O59" s="373"/>
      <c r="P59" s="373"/>
      <c r="Q59" s="373"/>
      <c r="R59" s="373"/>
      <c r="S59" s="373"/>
      <c r="T59" s="373"/>
      <c r="U59" s="373"/>
      <c r="V59" s="373"/>
      <c r="W59" s="373"/>
      <c r="X59" s="373"/>
      <c r="Y59" s="373"/>
    </row>
    <row r="60" spans="5:29" x14ac:dyDescent="0.3">
      <c r="G60" s="373" t="e">
        <f>G36</f>
        <v>#N/A</v>
      </c>
      <c r="H60" s="373" t="e">
        <f t="shared" ref="H60:Y60" si="21">H36</f>
        <v>#N/A</v>
      </c>
      <c r="I60" s="373" t="e">
        <f t="shared" si="21"/>
        <v>#N/A</v>
      </c>
      <c r="J60" s="373" t="e">
        <f t="shared" si="21"/>
        <v>#N/A</v>
      </c>
      <c r="K60" s="373" t="e">
        <f t="shared" si="21"/>
        <v>#N/A</v>
      </c>
      <c r="L60" s="373" t="e">
        <f t="shared" si="21"/>
        <v>#N/A</v>
      </c>
      <c r="M60" s="373" t="e">
        <f t="shared" si="21"/>
        <v>#N/A</v>
      </c>
      <c r="N60" s="373" t="e">
        <f t="shared" si="21"/>
        <v>#N/A</v>
      </c>
      <c r="O60" s="373" t="e">
        <f t="shared" si="21"/>
        <v>#N/A</v>
      </c>
      <c r="P60" s="373" t="e">
        <f t="shared" si="21"/>
        <v>#N/A</v>
      </c>
      <c r="Q60" s="373" t="e">
        <f t="shared" si="21"/>
        <v>#N/A</v>
      </c>
      <c r="R60" s="373" t="e">
        <f t="shared" si="21"/>
        <v>#N/A</v>
      </c>
      <c r="S60" s="373" t="e">
        <f t="shared" si="21"/>
        <v>#N/A</v>
      </c>
      <c r="T60" s="373" t="e">
        <f t="shared" si="21"/>
        <v>#N/A</v>
      </c>
      <c r="U60" s="373" t="e">
        <f t="shared" si="21"/>
        <v>#N/A</v>
      </c>
      <c r="V60" s="373" t="e">
        <f t="shared" si="21"/>
        <v>#N/A</v>
      </c>
      <c r="W60" s="373" t="e">
        <f t="shared" si="21"/>
        <v>#N/A</v>
      </c>
      <c r="X60" s="373" t="e">
        <f t="shared" si="21"/>
        <v>#N/A</v>
      </c>
      <c r="Y60" s="373" t="e">
        <f t="shared" si="21"/>
        <v>#N/A</v>
      </c>
    </row>
    <row r="61" spans="5:29" x14ac:dyDescent="0.3">
      <c r="G61" s="373" t="e">
        <f>G37</f>
        <v>#N/A</v>
      </c>
      <c r="H61" s="373" t="e">
        <f t="shared" ref="H61:Y61" si="22">H37</f>
        <v>#N/A</v>
      </c>
      <c r="I61" s="373" t="e">
        <f t="shared" si="22"/>
        <v>#N/A</v>
      </c>
      <c r="J61" s="373" t="e">
        <f t="shared" si="22"/>
        <v>#N/A</v>
      </c>
      <c r="K61" s="373" t="e">
        <f t="shared" si="22"/>
        <v>#N/A</v>
      </c>
      <c r="L61" s="373" t="e">
        <f t="shared" si="22"/>
        <v>#N/A</v>
      </c>
      <c r="M61" s="373" t="e">
        <f t="shared" si="22"/>
        <v>#N/A</v>
      </c>
      <c r="N61" s="373" t="e">
        <f t="shared" si="22"/>
        <v>#N/A</v>
      </c>
      <c r="O61" s="373" t="e">
        <f t="shared" si="22"/>
        <v>#N/A</v>
      </c>
      <c r="P61" s="373" t="e">
        <f t="shared" si="22"/>
        <v>#N/A</v>
      </c>
      <c r="Q61" s="373" t="e">
        <f t="shared" si="22"/>
        <v>#N/A</v>
      </c>
      <c r="R61" s="373" t="e">
        <f t="shared" si="22"/>
        <v>#N/A</v>
      </c>
      <c r="S61" s="373" t="e">
        <f t="shared" si="22"/>
        <v>#N/A</v>
      </c>
      <c r="T61" s="373" t="e">
        <f t="shared" si="22"/>
        <v>#N/A</v>
      </c>
      <c r="U61" s="373" t="e">
        <f t="shared" si="22"/>
        <v>#N/A</v>
      </c>
      <c r="V61" s="373" t="e">
        <f t="shared" si="22"/>
        <v>#N/A</v>
      </c>
      <c r="W61" s="373" t="e">
        <f t="shared" si="22"/>
        <v>#N/A</v>
      </c>
      <c r="X61" s="373" t="e">
        <f t="shared" si="22"/>
        <v>#N/A</v>
      </c>
      <c r="Y61" s="373" t="e">
        <f t="shared" si="22"/>
        <v>#N/A</v>
      </c>
    </row>
    <row r="64" spans="5:29" x14ac:dyDescent="0.3">
      <c r="G64" s="55" t="e">
        <f>G60+G61</f>
        <v>#N/A</v>
      </c>
      <c r="H64" s="55" t="e">
        <f>H60+H61</f>
        <v>#N/A</v>
      </c>
      <c r="I64" s="55" t="e">
        <f t="shared" ref="I64:Y64" si="23">I60+I61</f>
        <v>#N/A</v>
      </c>
      <c r="J64" s="55" t="e">
        <f t="shared" si="23"/>
        <v>#N/A</v>
      </c>
      <c r="K64" s="55" t="e">
        <f t="shared" si="23"/>
        <v>#N/A</v>
      </c>
      <c r="L64" s="55" t="e">
        <f t="shared" si="23"/>
        <v>#N/A</v>
      </c>
      <c r="M64" s="55" t="e">
        <f t="shared" si="23"/>
        <v>#N/A</v>
      </c>
      <c r="N64" s="55" t="e">
        <f t="shared" si="23"/>
        <v>#N/A</v>
      </c>
      <c r="O64" s="55" t="e">
        <f t="shared" si="23"/>
        <v>#N/A</v>
      </c>
      <c r="P64" s="55" t="e">
        <f t="shared" si="23"/>
        <v>#N/A</v>
      </c>
      <c r="Q64" s="55" t="e">
        <f t="shared" si="23"/>
        <v>#N/A</v>
      </c>
      <c r="R64" s="55" t="e">
        <f t="shared" si="23"/>
        <v>#N/A</v>
      </c>
      <c r="S64" s="55" t="e">
        <f t="shared" si="23"/>
        <v>#N/A</v>
      </c>
      <c r="T64" s="55" t="e">
        <f t="shared" si="23"/>
        <v>#N/A</v>
      </c>
      <c r="U64" s="55" t="e">
        <f t="shared" si="23"/>
        <v>#N/A</v>
      </c>
      <c r="V64" s="55" t="e">
        <f t="shared" si="23"/>
        <v>#N/A</v>
      </c>
      <c r="W64" s="55" t="e">
        <f t="shared" si="23"/>
        <v>#N/A</v>
      </c>
      <c r="X64" s="55" t="e">
        <f t="shared" si="23"/>
        <v>#N/A</v>
      </c>
      <c r="Y64" s="55" t="e">
        <f t="shared" si="23"/>
        <v>#N/A</v>
      </c>
    </row>
    <row r="65" spans="7:25" x14ac:dyDescent="0.3">
      <c r="G65" s="55">
        <f>SUM(G57:G58)</f>
        <v>352910.60181718785</v>
      </c>
      <c r="H65" s="55">
        <f t="shared" ref="H65:Y65" si="24">SUM(H57:H58)</f>
        <v>413941.17146089731</v>
      </c>
      <c r="I65" s="55">
        <f t="shared" si="24"/>
        <v>489168.58406745689</v>
      </c>
      <c r="J65" s="55">
        <f t="shared" si="24"/>
        <v>557646.98129334755</v>
      </c>
      <c r="K65" s="55">
        <f t="shared" si="24"/>
        <v>625972.68370055151</v>
      </c>
      <c r="L65" s="55">
        <f t="shared" si="24"/>
        <v>691281.46313253883</v>
      </c>
      <c r="M65" s="55">
        <f t="shared" si="24"/>
        <v>721846.01562096493</v>
      </c>
      <c r="N65" s="55">
        <f t="shared" si="24"/>
        <v>752988.20999725419</v>
      </c>
      <c r="O65" s="55">
        <f t="shared" si="24"/>
        <v>794456.68961582077</v>
      </c>
      <c r="P65" s="55">
        <f t="shared" si="24"/>
        <v>842244.16454752744</v>
      </c>
      <c r="Q65" s="55">
        <f t="shared" si="24"/>
        <v>893442.64473020658</v>
      </c>
      <c r="R65" s="55">
        <f t="shared" si="24"/>
        <v>946087.29589816788</v>
      </c>
      <c r="S65" s="55">
        <f t="shared" si="24"/>
        <v>1000297.0521773545</v>
      </c>
      <c r="T65" s="55">
        <f t="shared" si="24"/>
        <v>1056606.8200559213</v>
      </c>
      <c r="U65" s="55">
        <f t="shared" si="24"/>
        <v>1118176.7887431148</v>
      </c>
      <c r="V65" s="55">
        <f t="shared" si="24"/>
        <v>1177844.9665134563</v>
      </c>
      <c r="W65" s="55">
        <f t="shared" si="24"/>
        <v>1235575.1483453305</v>
      </c>
      <c r="X65" s="55">
        <f t="shared" si="24"/>
        <v>1298600.3088036808</v>
      </c>
      <c r="Y65" s="55">
        <f t="shared" si="24"/>
        <v>1362156.9137952577</v>
      </c>
    </row>
  </sheetData>
  <mergeCells count="31">
    <mergeCell ref="E11:F11"/>
    <mergeCell ref="C2:Z2"/>
    <mergeCell ref="D6:Z6"/>
    <mergeCell ref="E8:F8"/>
    <mergeCell ref="E9:F9"/>
    <mergeCell ref="E10:F10"/>
    <mergeCell ref="D20:Z20"/>
    <mergeCell ref="E22:F22"/>
    <mergeCell ref="E23:F23"/>
    <mergeCell ref="E24:F24"/>
    <mergeCell ref="E25:F25"/>
    <mergeCell ref="E30:F30"/>
    <mergeCell ref="E29:F29"/>
    <mergeCell ref="D27:Z27"/>
    <mergeCell ref="C33:Z33"/>
    <mergeCell ref="E31:F31"/>
    <mergeCell ref="E36:F36"/>
    <mergeCell ref="E39:F39"/>
    <mergeCell ref="E37:F37"/>
    <mergeCell ref="E40:F40"/>
    <mergeCell ref="E35:F35"/>
    <mergeCell ref="E52:F52"/>
    <mergeCell ref="E38:F38"/>
    <mergeCell ref="E49:F49"/>
    <mergeCell ref="E50:F50"/>
    <mergeCell ref="E51:F51"/>
    <mergeCell ref="D13:Z13"/>
    <mergeCell ref="E15:F15"/>
    <mergeCell ref="E16:F16"/>
    <mergeCell ref="E17:F17"/>
    <mergeCell ref="E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pageSetUpPr autoPageBreaks="0"/>
  </sheetPr>
  <dimension ref="A1:AG45"/>
  <sheetViews>
    <sheetView showGridLines="0" zoomScale="90" zoomScaleNormal="90" workbookViewId="0">
      <selection activeCell="W1" sqref="W1:AF1048576"/>
    </sheetView>
  </sheetViews>
  <sheetFormatPr defaultColWidth="9.109375" defaultRowHeight="14.4" x14ac:dyDescent="0.3"/>
  <cols>
    <col min="1" max="1" width="2.5546875" style="9" customWidth="1"/>
    <col min="2" max="4" width="12.6640625" style="9" customWidth="1"/>
    <col min="5" max="5" width="13" style="9" customWidth="1"/>
    <col min="6" max="21" width="12.6640625" style="9" customWidth="1"/>
    <col min="22" max="22" width="9.109375" style="9" customWidth="1"/>
    <col min="23" max="23" width="89.6640625" style="13" hidden="1" customWidth="1"/>
    <col min="24" max="24" width="129.6640625" style="13" hidden="1" customWidth="1"/>
    <col min="25" max="25" width="7.6640625" style="9" hidden="1" customWidth="1"/>
    <col min="26" max="26" width="19.109375" style="9" hidden="1" customWidth="1"/>
    <col min="27" max="27" width="23.5546875" style="9" hidden="1" customWidth="1"/>
    <col min="28" max="32" width="9.109375" style="9" hidden="1" customWidth="1"/>
    <col min="33" max="16384" width="9.109375" style="9"/>
  </cols>
  <sheetData>
    <row r="1" spans="1:31" ht="13.5" customHeight="1" x14ac:dyDescent="0.3">
      <c r="A1" s="321"/>
      <c r="B1" s="321"/>
      <c r="C1" s="321"/>
      <c r="D1" s="321"/>
      <c r="E1" s="321"/>
      <c r="F1" s="321"/>
      <c r="G1" s="321"/>
      <c r="H1" s="321"/>
      <c r="I1" s="321"/>
      <c r="J1" s="321"/>
      <c r="K1" s="321"/>
      <c r="L1" s="321"/>
      <c r="M1" s="321"/>
      <c r="N1" s="321"/>
      <c r="O1" s="321"/>
      <c r="P1" s="321"/>
      <c r="Q1" s="321"/>
      <c r="R1" s="321"/>
      <c r="S1" s="321"/>
      <c r="T1" s="321"/>
      <c r="U1" s="321"/>
    </row>
    <row r="2" spans="1:31" ht="33" customHeight="1" x14ac:dyDescent="0.3">
      <c r="A2" s="321"/>
      <c r="B2" s="322" t="str">
        <f>IF(Language="English", $W2, $X2)</f>
        <v>Enter your National Contraceptive Prevalence Goal</v>
      </c>
      <c r="C2" s="323"/>
      <c r="D2" s="323"/>
      <c r="E2" s="323"/>
      <c r="F2" s="323"/>
      <c r="G2" s="323"/>
      <c r="H2" s="323"/>
      <c r="I2" s="323"/>
      <c r="J2" s="323"/>
      <c r="K2" s="323"/>
      <c r="L2" s="323"/>
      <c r="M2" s="323"/>
      <c r="N2" s="323"/>
      <c r="O2" s="323"/>
      <c r="P2" s="323"/>
      <c r="Q2" s="323"/>
      <c r="R2" s="323"/>
      <c r="S2" s="323"/>
      <c r="T2" s="323"/>
      <c r="U2" s="323"/>
      <c r="W2" s="228" t="s">
        <v>668</v>
      </c>
      <c r="X2" s="228" t="s">
        <v>669</v>
      </c>
    </row>
    <row r="3" spans="1:31" ht="12" customHeight="1" x14ac:dyDescent="0.45">
      <c r="B3" s="46"/>
      <c r="C3" s="49"/>
      <c r="D3" s="49"/>
      <c r="E3" s="49"/>
      <c r="F3" s="49"/>
      <c r="G3" s="49"/>
      <c r="H3" s="49"/>
      <c r="I3" s="49"/>
      <c r="J3" s="49"/>
      <c r="K3" s="49"/>
      <c r="L3" s="49"/>
      <c r="M3" s="49"/>
      <c r="N3" s="49"/>
      <c r="O3" s="49"/>
      <c r="P3" s="49"/>
      <c r="Q3" s="49"/>
      <c r="R3" s="49"/>
      <c r="S3" s="49"/>
      <c r="T3" s="49"/>
      <c r="U3" s="49"/>
      <c r="W3" s="228"/>
      <c r="X3" s="228"/>
    </row>
    <row r="4" spans="1:31" ht="28.5" customHeight="1" x14ac:dyDescent="0.3">
      <c r="B4" s="324" t="str">
        <f>IF(Language="English", $W4, $X4)</f>
        <v xml:space="preserve">Enter the information about your national contraceptive prevalence goal. </v>
      </c>
      <c r="C4" s="325"/>
      <c r="D4" s="326"/>
      <c r="E4" s="326"/>
      <c r="F4" s="326"/>
      <c r="G4" s="326"/>
      <c r="H4" s="326"/>
      <c r="I4" s="326"/>
      <c r="J4" s="326"/>
      <c r="K4" s="326"/>
      <c r="L4" s="326"/>
      <c r="M4" s="326"/>
      <c r="N4" s="326"/>
      <c r="O4" s="326"/>
      <c r="P4" s="326"/>
      <c r="Q4" s="326"/>
      <c r="R4" s="326"/>
      <c r="S4" s="326"/>
      <c r="T4" s="326"/>
      <c r="U4" s="326"/>
      <c r="W4" s="210" t="s">
        <v>586</v>
      </c>
      <c r="X4" s="211" t="s">
        <v>587</v>
      </c>
    </row>
    <row r="5" spans="1:31" ht="18.600000000000001" customHeight="1" x14ac:dyDescent="0.3">
      <c r="B5" s="430" t="str">
        <f>IF(Language="english", $W5, $X5)</f>
        <v>Please enter %s as whole numbers-- e.g. 10% should be entered as 10.0</v>
      </c>
      <c r="D5" s="87"/>
      <c r="F5" s="80"/>
      <c r="G5" s="16"/>
      <c r="W5" s="88" t="s">
        <v>435</v>
      </c>
      <c r="X5" s="91" t="s">
        <v>436</v>
      </c>
      <c r="Z5" s="9" t="s">
        <v>719</v>
      </c>
      <c r="AA5" s="9" t="s">
        <v>147</v>
      </c>
      <c r="AB5" s="9" t="str">
        <f>IF(Language="English", Z5, AA5)</f>
        <v>All Women</v>
      </c>
      <c r="AC5" s="9" t="s">
        <v>661</v>
      </c>
      <c r="AD5" s="9" t="s">
        <v>660</v>
      </c>
      <c r="AE5" s="9" t="str">
        <f>IF(Language="English", AC5, AD5)</f>
        <v>All Methods</v>
      </c>
    </row>
    <row r="6" spans="1:31" ht="82.95" customHeight="1" x14ac:dyDescent="0.3">
      <c r="B6" s="14"/>
      <c r="C6" s="315" t="str">
        <f>IF(Language="english", W6,X6)</f>
        <v>Published CPR goal:</v>
      </c>
      <c r="D6" s="401"/>
      <c r="E6" s="118"/>
      <c r="F6" s="315" t="str">
        <f>IF(Language="english", W7,X7)</f>
        <v>What year does the plan start?</v>
      </c>
      <c r="G6" s="402">
        <v>2012</v>
      </c>
      <c r="H6" s="118"/>
      <c r="I6" s="315" t="str">
        <f>IF(Language="english", W8,X8)</f>
        <v>What year does the plan end?</v>
      </c>
      <c r="J6" s="402">
        <v>2030</v>
      </c>
      <c r="L6" s="315" t="str">
        <f>IF(Language=English, W10,X10)</f>
        <v>All methods or Modern Methods?</v>
      </c>
      <c r="M6" s="403"/>
      <c r="N6" s="212"/>
      <c r="O6" s="315" t="str">
        <f>IF(Language=English, W9,X9)</f>
        <v>Married or All Women Goal?</v>
      </c>
      <c r="P6" s="403"/>
      <c r="R6" s="656" t="s">
        <v>1129</v>
      </c>
      <c r="S6" s="699"/>
      <c r="T6" s="942" t="s">
        <v>1256</v>
      </c>
      <c r="U6" s="943"/>
      <c r="V6" s="9">
        <f>IF(D6="", 3, IF(AND(N7=1, Q7=1), 1, IF(AND(N7=1,Q7=2), 2, IF(AND(N7=2, Q7=1), 3, 4))))</f>
        <v>3</v>
      </c>
      <c r="W6" s="13" t="s">
        <v>122</v>
      </c>
      <c r="X6" s="13" t="s">
        <v>143</v>
      </c>
      <c r="Z6" s="9" t="s">
        <v>123</v>
      </c>
      <c r="AA6" s="9" t="s">
        <v>146</v>
      </c>
      <c r="AB6" s="9" t="str">
        <f>IF(Language="English", Z6, AA6)</f>
        <v>Married women</v>
      </c>
      <c r="AC6" s="9" t="s">
        <v>584</v>
      </c>
      <c r="AD6" s="27" t="s">
        <v>145</v>
      </c>
      <c r="AE6" s="9" t="str">
        <f>IF(Language="English", AC6, AD6)</f>
        <v>Modern Methods</v>
      </c>
    </row>
    <row r="7" spans="1:31" ht="11.25" hidden="1" customHeight="1" x14ac:dyDescent="0.3">
      <c r="B7" s="14"/>
      <c r="C7" s="316"/>
      <c r="D7" s="317"/>
      <c r="E7" s="118"/>
      <c r="F7" s="316"/>
      <c r="G7" s="318"/>
      <c r="H7" s="118"/>
      <c r="L7" s="316"/>
      <c r="M7" s="319" t="str">
        <f>IF(M6=AE5, "CP", "mCP")</f>
        <v>mCP</v>
      </c>
      <c r="N7" s="319">
        <f>IF(M6=AE5, 1, 2)</f>
        <v>2</v>
      </c>
      <c r="O7" s="316"/>
      <c r="P7" s="319" t="str">
        <f>IF(P6=AB5, "AW", "MW")</f>
        <v>MW</v>
      </c>
      <c r="Q7" s="9">
        <f>IF(P6=AB5, 1, 2)</f>
        <v>2</v>
      </c>
      <c r="W7" s="13" t="s">
        <v>862</v>
      </c>
      <c r="X7" s="13" t="s">
        <v>864</v>
      </c>
      <c r="AD7" s="27"/>
    </row>
    <row r="8" spans="1:31" ht="8.25" customHeight="1" x14ac:dyDescent="0.3">
      <c r="W8" s="13" t="s">
        <v>863</v>
      </c>
      <c r="X8" s="13" t="s">
        <v>865</v>
      </c>
    </row>
    <row r="9" spans="1:31" ht="15.6" x14ac:dyDescent="0.3">
      <c r="B9" s="14"/>
      <c r="C9" s="21" t="s">
        <v>120</v>
      </c>
      <c r="D9" s="911"/>
      <c r="E9" s="911"/>
      <c r="F9" s="911"/>
      <c r="G9" s="911"/>
      <c r="H9" s="911"/>
      <c r="I9" s="911"/>
      <c r="W9" s="13" t="s">
        <v>625</v>
      </c>
      <c r="X9" s="13" t="s">
        <v>627</v>
      </c>
    </row>
    <row r="10" spans="1:31" ht="13.5" customHeight="1" x14ac:dyDescent="0.3">
      <c r="B10" s="14"/>
      <c r="F10" s="52"/>
      <c r="H10" s="183"/>
      <c r="I10" s="183"/>
      <c r="J10" s="183"/>
      <c r="K10" s="183"/>
      <c r="L10" s="183"/>
      <c r="M10" s="183"/>
      <c r="N10" s="183"/>
      <c r="O10" s="183"/>
      <c r="P10" s="183"/>
      <c r="Q10" s="183"/>
      <c r="R10" s="183"/>
      <c r="S10" s="183"/>
      <c r="T10" s="183"/>
      <c r="U10" s="183"/>
      <c r="W10" s="13" t="s">
        <v>626</v>
      </c>
      <c r="X10" s="13" t="s">
        <v>628</v>
      </c>
    </row>
    <row r="11" spans="1:31" ht="10.5" customHeight="1" x14ac:dyDescent="0.3">
      <c r="B11" s="14"/>
      <c r="C11" s="213"/>
      <c r="D11" s="213"/>
      <c r="E11" s="213"/>
      <c r="F11" s="213"/>
      <c r="G11" s="213"/>
      <c r="H11" s="213"/>
      <c r="I11" s="213"/>
      <c r="J11" s="213"/>
      <c r="K11" s="213"/>
      <c r="L11" s="213"/>
      <c r="M11" s="213"/>
      <c r="N11" s="183"/>
      <c r="O11" s="183"/>
      <c r="P11" s="183"/>
      <c r="Q11" s="183"/>
      <c r="R11" s="183"/>
      <c r="S11" s="183"/>
      <c r="T11" s="183"/>
      <c r="U11" s="183"/>
      <c r="W11" s="93" t="s">
        <v>775</v>
      </c>
    </row>
    <row r="12" spans="1:31" ht="36.75" hidden="1" customHeight="1" x14ac:dyDescent="0.3">
      <c r="B12" s="953" t="str">
        <f>IF(Language="english", W12,X12)</f>
        <v>SKIP THIS STEP.</v>
      </c>
      <c r="C12" s="954"/>
      <c r="D12" s="954"/>
      <c r="E12" s="954"/>
      <c r="F12" s="954"/>
      <c r="G12" s="954"/>
      <c r="H12" s="954"/>
      <c r="I12" s="954"/>
      <c r="J12" s="954"/>
      <c r="K12" s="954"/>
      <c r="L12" s="954"/>
      <c r="M12" s="954"/>
      <c r="N12" s="954"/>
      <c r="O12" s="954"/>
      <c r="P12" s="954"/>
      <c r="Q12" s="954"/>
      <c r="R12" s="954"/>
      <c r="S12" s="954"/>
      <c r="T12" s="954"/>
      <c r="U12" s="954"/>
      <c r="V12" s="9">
        <f>IF(AND(M7=1,P7=1), 1, 0)</f>
        <v>0</v>
      </c>
      <c r="W12" s="13" t="str">
        <f>IF(V12=0, "SKIP THIS STEP.", "Your national goal is All Women CPR, must convert the baseline from Married women CPR.  You can do this by multiplying by the ratio of All Women CPR to Married Women CPR from your last survey.")</f>
        <v>SKIP THIS STEP.</v>
      </c>
      <c r="X12" s="237" t="str">
        <f>IF($V$12=0, "Passer cette étape!", "Votre objectif national concerne TPC pour toutes les femmes, vous devez convertir votre ligne de base. Vous pouvez le faire en multipliant par le ratio entre le TPC (TF) et le TPC (FM) depuis votre dernière enquête.")</f>
        <v>Passer cette étape!</v>
      </c>
    </row>
    <row r="13" spans="1:31" ht="9" hidden="1" customHeight="1" x14ac:dyDescent="0.3"/>
    <row r="14" spans="1:31" ht="43.5" hidden="1" customHeight="1" thickBot="1" x14ac:dyDescent="0.35">
      <c r="D14" s="944" t="str">
        <f>IF(Language="english", W14,X14)</f>
        <v>All Women CPR: All methods</v>
      </c>
      <c r="E14" s="944"/>
      <c r="F14" s="184"/>
      <c r="I14" s="945" t="s">
        <v>585</v>
      </c>
      <c r="J14" s="945"/>
      <c r="K14" s="214" t="str">
        <f>IFERROR(F14/F15, "N/A")</f>
        <v>N/A</v>
      </c>
      <c r="N14" s="183"/>
      <c r="O14" s="183"/>
      <c r="P14" s="183"/>
      <c r="Q14" s="183"/>
      <c r="R14" s="183"/>
      <c r="S14" s="183"/>
      <c r="T14" s="183"/>
      <c r="U14" s="183"/>
      <c r="W14" s="229" t="s">
        <v>664</v>
      </c>
      <c r="X14" s="13" t="s">
        <v>665</v>
      </c>
    </row>
    <row r="15" spans="1:31" ht="43.5" hidden="1" customHeight="1" thickBot="1" x14ac:dyDescent="0.35">
      <c r="D15" s="944" t="str">
        <f>IF(Language="english", W15,X15)</f>
        <v>Married Women CPR: All methods</v>
      </c>
      <c r="E15" s="944"/>
      <c r="F15" s="184"/>
      <c r="H15" s="183"/>
      <c r="I15" s="947" t="str">
        <f>IF(Language="english", Y15,Z15)</f>
        <v>2012 CPR (All Women) Baseline</v>
      </c>
      <c r="J15" s="948"/>
      <c r="K15" s="427" t="str">
        <f>IF(V12=1, 'Indicator Calculations'!$G$8*'Enter your National Goal'!$K$14, "")</f>
        <v/>
      </c>
      <c r="L15" s="183"/>
      <c r="M15" s="183"/>
      <c r="N15" s="183"/>
      <c r="O15" s="183"/>
      <c r="P15" s="183"/>
      <c r="Q15" s="183"/>
      <c r="R15" s="183"/>
      <c r="S15" s="183"/>
      <c r="T15" s="183"/>
      <c r="U15" s="183"/>
      <c r="W15" s="229" t="s">
        <v>666</v>
      </c>
      <c r="X15" s="13" t="s">
        <v>667</v>
      </c>
      <c r="Y15" s="9" t="str">
        <f>"2012 CPR ("&amp;AB5&amp;") Baseline"</f>
        <v>2012 CPR (All Women) Baseline</v>
      </c>
      <c r="Z15" s="9" t="str">
        <f>"2012 TPC ("&amp;AB5&amp;") ligne de base"</f>
        <v>2012 TPC (All Women) ligne de base</v>
      </c>
    </row>
    <row r="16" spans="1:31" ht="8.25" hidden="1" customHeight="1" x14ac:dyDescent="0.3"/>
    <row r="17" spans="2:33" ht="17.25" hidden="1" customHeight="1" x14ac:dyDescent="0.3">
      <c r="C17" s="320" t="s">
        <v>120</v>
      </c>
      <c r="D17" s="950"/>
      <c r="E17" s="950"/>
      <c r="F17" s="950"/>
      <c r="G17" s="950"/>
      <c r="H17" s="950"/>
      <c r="I17" s="950"/>
    </row>
    <row r="18" spans="2:33" hidden="1" x14ac:dyDescent="0.3">
      <c r="C18" s="4"/>
      <c r="W18" s="13" t="str">
        <f>"CPR " &amp; $M$6&amp; " (" &amp;P6&amp;")"</f>
        <v>CPR  ()</v>
      </c>
      <c r="X18" s="13" t="str">
        <f>"TCP " &amp; $M$6&amp; " (" &amp;P6&amp;")"</f>
        <v>TCP  ()</v>
      </c>
    </row>
    <row r="19" spans="2:33" ht="28.5" customHeight="1" thickBot="1" x14ac:dyDescent="0.35">
      <c r="B19" s="951" t="str">
        <f>IF(Language="english", W19,X19)</f>
        <v>National Goal Trend: mCPR  ()</v>
      </c>
      <c r="C19" s="952"/>
      <c r="D19" s="952"/>
      <c r="E19" s="952"/>
      <c r="F19" s="952"/>
      <c r="G19" s="952"/>
      <c r="H19" s="952"/>
      <c r="I19" s="952"/>
      <c r="J19" s="952"/>
      <c r="K19" s="952"/>
      <c r="L19" s="952"/>
      <c r="M19" s="952"/>
      <c r="N19" s="952"/>
      <c r="O19" s="952"/>
      <c r="P19" s="952"/>
      <c r="Q19" s="952"/>
      <c r="R19" s="952"/>
      <c r="S19" s="952"/>
      <c r="T19" s="952"/>
      <c r="U19" s="952"/>
      <c r="W19" s="13" t="str">
        <f>IF(M7="mCP", "National Goal Trend: mCPR "&amp; " (" &amp;P6&amp;")", "National Goal Trend: CPR "&amp; " (" &amp;P6&amp;")")</f>
        <v>National Goal Trend: mCPR  ()</v>
      </c>
      <c r="X19" s="13" t="str">
        <f>IF(M7="mCP", "Objectif Nationale: TPCM " &amp; " (" &amp;P6&amp;")", "Objectif Nationale: TPC " &amp; " (" &amp;P6&amp;")")</f>
        <v>Objectif Nationale: TPCM  ()</v>
      </c>
    </row>
    <row r="20" spans="2:33" ht="16.5" customHeight="1" thickTop="1" x14ac:dyDescent="0.3">
      <c r="B20" s="949"/>
      <c r="C20" s="949"/>
      <c r="D20" s="949"/>
      <c r="E20" s="949"/>
      <c r="F20" s="949"/>
      <c r="G20" s="949"/>
      <c r="H20" s="949"/>
      <c r="I20" s="949"/>
      <c r="J20" s="949"/>
      <c r="K20" s="949"/>
      <c r="L20" s="949"/>
      <c r="M20" s="949"/>
      <c r="W20" s="13" t="s">
        <v>612</v>
      </c>
      <c r="X20" s="93" t="s">
        <v>604</v>
      </c>
    </row>
    <row r="21" spans="2:33" ht="38.25" customHeight="1" x14ac:dyDescent="0.3">
      <c r="C21" s="268">
        <f>IF(G6="", "", G6)</f>
        <v>2012</v>
      </c>
      <c r="D21" s="268">
        <f t="shared" ref="D21:U21" si="0">IFERROR(IF(($J$6+0.5)&gt;=(C21+1),(C21+1),"" ), "")</f>
        <v>2013</v>
      </c>
      <c r="E21" s="268">
        <f t="shared" si="0"/>
        <v>2014</v>
      </c>
      <c r="F21" s="268">
        <f t="shared" si="0"/>
        <v>2015</v>
      </c>
      <c r="G21" s="268">
        <f t="shared" si="0"/>
        <v>2016</v>
      </c>
      <c r="H21" s="268">
        <f t="shared" si="0"/>
        <v>2017</v>
      </c>
      <c r="I21" s="268">
        <f t="shared" si="0"/>
        <v>2018</v>
      </c>
      <c r="J21" s="268">
        <f t="shared" si="0"/>
        <v>2019</v>
      </c>
      <c r="K21" s="268">
        <f t="shared" si="0"/>
        <v>2020</v>
      </c>
      <c r="L21" s="268">
        <f t="shared" si="0"/>
        <v>2021</v>
      </c>
      <c r="M21" s="268">
        <f t="shared" si="0"/>
        <v>2022</v>
      </c>
      <c r="N21" s="268">
        <f t="shared" si="0"/>
        <v>2023</v>
      </c>
      <c r="O21" s="268">
        <f t="shared" si="0"/>
        <v>2024</v>
      </c>
      <c r="P21" s="268">
        <f t="shared" si="0"/>
        <v>2025</v>
      </c>
      <c r="Q21" s="268">
        <f t="shared" si="0"/>
        <v>2026</v>
      </c>
      <c r="R21" s="268">
        <f t="shared" si="0"/>
        <v>2027</v>
      </c>
      <c r="S21" s="268">
        <f t="shared" si="0"/>
        <v>2028</v>
      </c>
      <c r="T21" s="268">
        <f t="shared" si="0"/>
        <v>2029</v>
      </c>
      <c r="U21" s="268">
        <f t="shared" si="0"/>
        <v>2030</v>
      </c>
      <c r="W21" s="230" t="s">
        <v>605</v>
      </c>
      <c r="X21" s="231" t="s">
        <v>606</v>
      </c>
    </row>
    <row r="22" spans="2:33" s="44" customFormat="1" ht="30" customHeight="1" x14ac:dyDescent="0.3">
      <c r="B22" s="315" t="str">
        <f>IF(Language=English, W22, X22)</f>
        <v>National goal</v>
      </c>
      <c r="C22" s="404" t="e">
        <f>IF(D6="", NA(), C23)</f>
        <v>#N/A</v>
      </c>
      <c r="D22" s="404" t="e">
        <f t="shared" ref="D22:T22" si="1">IF(D24=1, $D$6,C22+HLOOKUP(1, $C$24:$U$25, 2, FALSE))</f>
        <v>#N/A</v>
      </c>
      <c r="E22" s="404" t="e">
        <f t="shared" si="1"/>
        <v>#N/A</v>
      </c>
      <c r="F22" s="404" t="e">
        <f t="shared" si="1"/>
        <v>#N/A</v>
      </c>
      <c r="G22" s="404" t="e">
        <f t="shared" si="1"/>
        <v>#N/A</v>
      </c>
      <c r="H22" s="404" t="e">
        <f t="shared" si="1"/>
        <v>#N/A</v>
      </c>
      <c r="I22" s="404" t="e">
        <f t="shared" si="1"/>
        <v>#N/A</v>
      </c>
      <c r="J22" s="404" t="e">
        <f t="shared" si="1"/>
        <v>#N/A</v>
      </c>
      <c r="K22" s="404" t="e">
        <f t="shared" si="1"/>
        <v>#N/A</v>
      </c>
      <c r="L22" s="404" t="e">
        <f t="shared" si="1"/>
        <v>#N/A</v>
      </c>
      <c r="M22" s="404" t="e">
        <f t="shared" si="1"/>
        <v>#N/A</v>
      </c>
      <c r="N22" s="404" t="e">
        <f t="shared" si="1"/>
        <v>#N/A</v>
      </c>
      <c r="O22" s="404" t="e">
        <f t="shared" si="1"/>
        <v>#N/A</v>
      </c>
      <c r="P22" s="404" t="e">
        <f t="shared" si="1"/>
        <v>#N/A</v>
      </c>
      <c r="Q22" s="404" t="e">
        <f t="shared" si="1"/>
        <v>#N/A</v>
      </c>
      <c r="R22" s="404" t="e">
        <f t="shared" si="1"/>
        <v>#N/A</v>
      </c>
      <c r="S22" s="404" t="e">
        <f t="shared" si="1"/>
        <v>#N/A</v>
      </c>
      <c r="T22" s="404" t="e">
        <f t="shared" si="1"/>
        <v>#N/A</v>
      </c>
      <c r="U22" s="404" t="e">
        <f>IF(D6="", NA(), IF(U24=1, $D$6,T22+HLOOKUP(1, $C$24:$U$25, 2, FALSE)))</f>
        <v>#N/A</v>
      </c>
      <c r="W22" s="45" t="s">
        <v>673</v>
      </c>
      <c r="X22" s="45" t="s">
        <v>674</v>
      </c>
      <c r="AG22" s="9"/>
    </row>
    <row r="23" spans="2:33" ht="28.5" customHeight="1" x14ac:dyDescent="0.3">
      <c r="B23" s="341" t="str">
        <f>IF(Language=English, W27, X27)</f>
        <v>Current Trend</v>
      </c>
      <c r="C23" s="404">
        <f>VLOOKUP($P$7&amp;$M$7&amp;"50", 'Indicator Calculations'!$A$7:$Z$25, MATCH(C$21, 'Indicator Calculations'!$A$7:$Y$7, 0), FALSE)</f>
        <v>0</v>
      </c>
      <c r="D23" s="404">
        <f>VLOOKUP($P$7&amp;$M$7&amp;"50", 'Indicator Calculations'!$A$7:$Z$25, MATCH(D$21, 'Indicator Calculations'!$A$7:$Y$7, 0), FALSE)</f>
        <v>0</v>
      </c>
      <c r="E23" s="404">
        <f>VLOOKUP($P$7&amp;$M$7&amp;"50", 'Indicator Calculations'!$A$7:$Z$25, MATCH(E$21, 'Indicator Calculations'!$A$7:$Y$7, 0), FALSE)</f>
        <v>0</v>
      </c>
      <c r="F23" s="404">
        <f>VLOOKUP($P$7&amp;$M$7&amp;"50", 'Indicator Calculations'!$A$7:$Z$25, MATCH(F$21, 'Indicator Calculations'!$A$7:$Y$7, 0), FALSE)</f>
        <v>0</v>
      </c>
      <c r="G23" s="404">
        <f>VLOOKUP($P$7&amp;$M$7&amp;"50", 'Indicator Calculations'!$A$7:$Z$25, MATCH(G$21, 'Indicator Calculations'!$A$7:$Y$7, 0), FALSE)</f>
        <v>0</v>
      </c>
      <c r="H23" s="404">
        <f>VLOOKUP($P$7&amp;$M$7&amp;"50", 'Indicator Calculations'!$A$7:$Z$25, MATCH(H$21, 'Indicator Calculations'!$A$7:$Y$7, 0), FALSE)</f>
        <v>0</v>
      </c>
      <c r="I23" s="404">
        <f>VLOOKUP($P$7&amp;$M$7&amp;"50", 'Indicator Calculations'!$A$7:$Z$25, MATCH(I$21, 'Indicator Calculations'!$A$7:$Y$7, 0), FALSE)</f>
        <v>0</v>
      </c>
      <c r="J23" s="404">
        <f>VLOOKUP($P$7&amp;$M$7&amp;"50", 'Indicator Calculations'!$A$7:$Z$25, MATCH(J$21, 'Indicator Calculations'!$A$7:$Y$7, 0), FALSE)</f>
        <v>0</v>
      </c>
      <c r="K23" s="404">
        <f>VLOOKUP($P$7&amp;$M$7&amp;"50", 'Indicator Calculations'!$A$7:$Z$25, MATCH(K$21, 'Indicator Calculations'!$A$7:$Y$7, 0), FALSE)</f>
        <v>0</v>
      </c>
      <c r="L23" s="404">
        <f>VLOOKUP($P$7&amp;$M$7&amp;"50", 'Indicator Calculations'!$A$7:$Z$25, MATCH(L$21, 'Indicator Calculations'!$A$7:$Y$7, 0), FALSE)</f>
        <v>0</v>
      </c>
      <c r="M23" s="404">
        <f>VLOOKUP($P$7&amp;$M$7&amp;"50", 'Indicator Calculations'!$A$7:$Z$25, MATCH(M$21, 'Indicator Calculations'!$A$7:$Y$7, 0), FALSE)</f>
        <v>0</v>
      </c>
      <c r="N23" s="404">
        <f>VLOOKUP($P$7&amp;$M$7&amp;"50", 'Indicator Calculations'!$A$7:$Z$25, MATCH(N$21, 'Indicator Calculations'!$A$7:$Y$7, 0), FALSE)</f>
        <v>0</v>
      </c>
      <c r="O23" s="404">
        <f>VLOOKUP($P$7&amp;$M$7&amp;"50", 'Indicator Calculations'!$A$7:$Z$25, MATCH(O$21, 'Indicator Calculations'!$A$7:$Y$7, 0), FALSE)</f>
        <v>0</v>
      </c>
      <c r="P23" s="404">
        <f>VLOOKUP($P$7&amp;$M$7&amp;"50", 'Indicator Calculations'!$A$7:$Z$25, MATCH(P$21, 'Indicator Calculations'!$A$7:$Y$7, 0), FALSE)</f>
        <v>0</v>
      </c>
      <c r="Q23" s="404">
        <f>VLOOKUP($P$7&amp;$M$7&amp;"50", 'Indicator Calculations'!$A$7:$Z$25, MATCH(Q$21, 'Indicator Calculations'!$A$7:$Y$7, 0), FALSE)</f>
        <v>0</v>
      </c>
      <c r="R23" s="404">
        <f>VLOOKUP($P$7&amp;$M$7&amp;"50", 'Indicator Calculations'!$A$7:$Z$25, MATCH(R$21, 'Indicator Calculations'!$A$7:$Y$7, 0), FALSE)</f>
        <v>0</v>
      </c>
      <c r="S23" s="404">
        <f>VLOOKUP($P$7&amp;$M$7&amp;"50", 'Indicator Calculations'!$A$7:$Z$25, MATCH(S$21, 'Indicator Calculations'!$A$7:$Y$7, 0), FALSE)</f>
        <v>0</v>
      </c>
      <c r="T23" s="404">
        <f>VLOOKUP($P$7&amp;$M$7&amp;"50", 'Indicator Calculations'!$A$7:$Z$25, MATCH(T$21, 'Indicator Calculations'!$A$7:$Y$7, 0), FALSE)</f>
        <v>0</v>
      </c>
      <c r="U23" s="404">
        <f>VLOOKUP($P$7&amp;$M$7&amp;"50", 'Indicator Calculations'!$A$7:$Z$25, MATCH(U$21, 'Indicator Calculations'!$A$7:$Y$7, 0), FALSE)</f>
        <v>0</v>
      </c>
      <c r="W23" s="13" t="str">
        <f>IF(V6=1, "CPR (All Women)", IF(V6=2, "CPR (Married Women)", IF(V6=3, "mCPR (All Women)", IF(V6=4, "mCPR (Married Women)", NA()))))</f>
        <v>mCPR (All Women)</v>
      </c>
      <c r="X23" s="13" t="str">
        <f>IF(V6=1, "TPC (toutes les femmes)", IF(V6=2, "TPC (Femmes mariées)", IF(V6=3, "TPCM (toutes les femmes)", IF(V6=4, "TPCM (Femmes mariées)", NA()))))</f>
        <v>TPCM (toutes les femmes)</v>
      </c>
    </row>
    <row r="24" spans="2:33" ht="28.5" hidden="1" customHeight="1" x14ac:dyDescent="0.3">
      <c r="C24" s="267">
        <f t="shared" ref="C24:U24" si="2">IF(C21=$J$6, 1,IF(B24&gt;=1, 2, 0))</f>
        <v>0</v>
      </c>
      <c r="D24" s="267">
        <f t="shared" si="2"/>
        <v>0</v>
      </c>
      <c r="E24" s="267">
        <f t="shared" si="2"/>
        <v>0</v>
      </c>
      <c r="F24" s="267">
        <f t="shared" si="2"/>
        <v>0</v>
      </c>
      <c r="G24" s="267">
        <f t="shared" si="2"/>
        <v>0</v>
      </c>
      <c r="H24" s="267">
        <f t="shared" si="2"/>
        <v>0</v>
      </c>
      <c r="I24" s="267">
        <f t="shared" si="2"/>
        <v>0</v>
      </c>
      <c r="J24" s="267">
        <f t="shared" si="2"/>
        <v>0</v>
      </c>
      <c r="K24" s="267">
        <f t="shared" si="2"/>
        <v>0</v>
      </c>
      <c r="L24" s="267">
        <f t="shared" si="2"/>
        <v>0</v>
      </c>
      <c r="M24" s="267">
        <f t="shared" si="2"/>
        <v>0</v>
      </c>
      <c r="N24" s="267">
        <f t="shared" si="2"/>
        <v>0</v>
      </c>
      <c r="O24" s="267">
        <f t="shared" si="2"/>
        <v>0</v>
      </c>
      <c r="P24" s="267">
        <f t="shared" si="2"/>
        <v>0</v>
      </c>
      <c r="Q24" s="267">
        <f t="shared" si="2"/>
        <v>0</v>
      </c>
      <c r="R24" s="267">
        <f t="shared" si="2"/>
        <v>0</v>
      </c>
      <c r="S24" s="267">
        <f t="shared" si="2"/>
        <v>0</v>
      </c>
      <c r="T24" s="267">
        <f t="shared" si="2"/>
        <v>0</v>
      </c>
      <c r="U24" s="267">
        <f t="shared" si="2"/>
        <v>1</v>
      </c>
    </row>
    <row r="25" spans="2:33" ht="28.5" hidden="1" customHeight="1" x14ac:dyDescent="0.3">
      <c r="C25" s="4"/>
      <c r="D25" s="4" t="e">
        <f t="shared" ref="D25:L25" si="3">(D22-$C$22)/(D21-$C$21)</f>
        <v>#N/A</v>
      </c>
      <c r="E25" s="4" t="e">
        <f t="shared" si="3"/>
        <v>#N/A</v>
      </c>
      <c r="F25" s="4" t="e">
        <f t="shared" si="3"/>
        <v>#N/A</v>
      </c>
      <c r="G25" s="4" t="e">
        <f t="shared" si="3"/>
        <v>#N/A</v>
      </c>
      <c r="H25" s="4" t="e">
        <f t="shared" si="3"/>
        <v>#N/A</v>
      </c>
      <c r="I25" s="4" t="e">
        <f t="shared" si="3"/>
        <v>#N/A</v>
      </c>
      <c r="J25" s="4" t="e">
        <f t="shared" si="3"/>
        <v>#N/A</v>
      </c>
      <c r="K25" s="4" t="e">
        <f t="shared" si="3"/>
        <v>#N/A</v>
      </c>
      <c r="L25" s="4" t="e">
        <f t="shared" si="3"/>
        <v>#N/A</v>
      </c>
      <c r="M25" s="4" t="e">
        <f t="shared" ref="M25:U25" si="4">(M22-$C$22)/(M21-$C$21)</f>
        <v>#N/A</v>
      </c>
      <c r="N25" s="4" t="e">
        <f t="shared" si="4"/>
        <v>#N/A</v>
      </c>
      <c r="O25" s="4" t="e">
        <f t="shared" si="4"/>
        <v>#N/A</v>
      </c>
      <c r="P25" s="4" t="e">
        <f t="shared" si="4"/>
        <v>#N/A</v>
      </c>
      <c r="Q25" s="4" t="e">
        <f t="shared" si="4"/>
        <v>#N/A</v>
      </c>
      <c r="R25" s="4" t="e">
        <f t="shared" si="4"/>
        <v>#N/A</v>
      </c>
      <c r="S25" s="4" t="e">
        <f t="shared" si="4"/>
        <v>#N/A</v>
      </c>
      <c r="T25" s="4" t="e">
        <f t="shared" si="4"/>
        <v>#N/A</v>
      </c>
      <c r="U25" s="4" t="e">
        <f t="shared" si="4"/>
        <v>#N/A</v>
      </c>
    </row>
    <row r="26" spans="2:33" ht="15" customHeight="1" x14ac:dyDescent="0.3">
      <c r="E26" s="27"/>
      <c r="F26" s="27"/>
      <c r="G26" s="215"/>
      <c r="H26" s="183"/>
      <c r="I26" s="183"/>
      <c r="J26" s="183"/>
      <c r="K26" s="183"/>
      <c r="L26" s="183"/>
      <c r="M26" s="183"/>
      <c r="N26" s="183"/>
      <c r="O26" s="183"/>
      <c r="P26" s="183"/>
      <c r="Q26" s="183"/>
      <c r="R26" s="183"/>
      <c r="S26" s="183"/>
      <c r="T26" s="183"/>
      <c r="U26" s="183"/>
      <c r="Y26" s="27" t="s">
        <v>124</v>
      </c>
      <c r="Z26" s="27" t="s">
        <v>144</v>
      </c>
    </row>
    <row r="27" spans="2:33" x14ac:dyDescent="0.3">
      <c r="W27" s="13" t="s">
        <v>672</v>
      </c>
      <c r="X27" s="13" t="s">
        <v>594</v>
      </c>
    </row>
    <row r="28" spans="2:33" ht="15" customHeight="1" x14ac:dyDescent="0.3">
      <c r="B28" s="235"/>
      <c r="C28" s="235"/>
      <c r="D28" s="236"/>
      <c r="E28" s="236"/>
      <c r="F28" s="236"/>
      <c r="G28" s="236"/>
      <c r="H28" s="236"/>
      <c r="I28" s="236"/>
      <c r="J28" s="236"/>
      <c r="K28" s="236"/>
      <c r="L28" s="236"/>
      <c r="W28" s="27"/>
      <c r="X28" s="27"/>
    </row>
    <row r="29" spans="2:33" x14ac:dyDescent="0.3">
      <c r="W29" s="9"/>
      <c r="X29" s="9"/>
    </row>
    <row r="32" spans="2:33" ht="21" customHeight="1" x14ac:dyDescent="0.3">
      <c r="I32" s="946" t="str">
        <f>IF(Language = English, W32,X32)</f>
        <v>Review the data for your brief, "Assessing our progress"</v>
      </c>
      <c r="J32" s="946"/>
      <c r="K32" s="946"/>
      <c r="L32" s="946"/>
      <c r="M32" s="946"/>
      <c r="W32" s="13" t="s">
        <v>670</v>
      </c>
      <c r="X32" s="13" t="s">
        <v>671</v>
      </c>
    </row>
    <row r="33" spans="2:21" ht="21" customHeight="1" x14ac:dyDescent="0.3">
      <c r="I33" s="946"/>
      <c r="J33" s="946"/>
      <c r="K33" s="946"/>
      <c r="L33" s="946"/>
      <c r="M33" s="946"/>
    </row>
    <row r="45" spans="2:21" hidden="1" x14ac:dyDescent="0.3">
      <c r="B45" s="205" t="s">
        <v>866</v>
      </c>
      <c r="C45" s="205">
        <v>2012</v>
      </c>
      <c r="D45" s="205">
        <v>2013</v>
      </c>
      <c r="E45" s="205">
        <v>2014</v>
      </c>
      <c r="F45" s="205">
        <v>2015</v>
      </c>
      <c r="G45" s="205">
        <v>2016</v>
      </c>
      <c r="H45" s="205">
        <v>2017</v>
      </c>
      <c r="I45" s="205">
        <v>2018</v>
      </c>
      <c r="J45" s="205">
        <v>2019</v>
      </c>
      <c r="K45" s="205">
        <v>2020</v>
      </c>
      <c r="L45" s="205">
        <v>2021</v>
      </c>
      <c r="M45" s="205">
        <v>2022</v>
      </c>
      <c r="N45" s="205">
        <v>2023</v>
      </c>
      <c r="O45" s="205">
        <v>2024</v>
      </c>
      <c r="P45" s="205">
        <v>2025</v>
      </c>
      <c r="Q45" s="205">
        <v>2026</v>
      </c>
      <c r="R45" s="205">
        <v>2027</v>
      </c>
      <c r="S45" s="205">
        <v>2028</v>
      </c>
      <c r="T45" s="205">
        <v>2029</v>
      </c>
      <c r="U45" s="205">
        <v>2030</v>
      </c>
    </row>
  </sheetData>
  <mergeCells count="11">
    <mergeCell ref="T6:U6"/>
    <mergeCell ref="D14:E14"/>
    <mergeCell ref="I14:J14"/>
    <mergeCell ref="D9:I9"/>
    <mergeCell ref="I32:M33"/>
    <mergeCell ref="D15:E15"/>
    <mergeCell ref="I15:J15"/>
    <mergeCell ref="B20:M20"/>
    <mergeCell ref="D17:I17"/>
    <mergeCell ref="B19:U19"/>
    <mergeCell ref="B12:U12"/>
  </mergeCells>
  <conditionalFormatting sqref="D14:F15 I14:K14">
    <cfRule type="expression" dxfId="13" priority="14">
      <formula>$V$12=0</formula>
    </cfRule>
  </conditionalFormatting>
  <conditionalFormatting sqref="I15:K15">
    <cfRule type="expression" dxfId="12" priority="6">
      <formula>$V$12=0</formula>
    </cfRule>
  </conditionalFormatting>
  <conditionalFormatting sqref="C17:I17">
    <cfRule type="expression" dxfId="11" priority="5">
      <formula>$V$12=0</formula>
    </cfRule>
  </conditionalFormatting>
  <conditionalFormatting sqref="L21:O21 C23:U23">
    <cfRule type="expression" dxfId="10" priority="21">
      <formula>C$24&gt;1</formula>
    </cfRule>
  </conditionalFormatting>
  <conditionalFormatting sqref="P21:U21">
    <cfRule type="expression" dxfId="9" priority="3">
      <formula>P$24&gt;1</formula>
    </cfRule>
  </conditionalFormatting>
  <conditionalFormatting sqref="C22:O22">
    <cfRule type="expression" dxfId="8" priority="2">
      <formula>C$24&gt;1</formula>
    </cfRule>
  </conditionalFormatting>
  <conditionalFormatting sqref="P22:U22">
    <cfRule type="expression" dxfId="7" priority="1">
      <formula>P$24&gt;1</formula>
    </cfRule>
  </conditionalFormatting>
  <dataValidations count="4">
    <dataValidation type="list" allowBlank="1" showInputMessage="1" showErrorMessage="1" sqref="M6" xr:uid="{00000000-0002-0000-0600-000000000000}">
      <formula1>$AE$5:$AE$6</formula1>
    </dataValidation>
    <dataValidation type="list" allowBlank="1" showInputMessage="1" showErrorMessage="1" sqref="P6" xr:uid="{00000000-0002-0000-0600-000001000000}">
      <formula1>$AB$5:$AB$6</formula1>
    </dataValidation>
    <dataValidation type="list" allowBlank="1" showInputMessage="1" showErrorMessage="1" sqref="G6" xr:uid="{F0C75850-65DC-4004-9352-80C00F92A279}">
      <formula1>$C$45:$K$45</formula1>
    </dataValidation>
    <dataValidation type="list" allowBlank="1" showInputMessage="1" showErrorMessage="1" sqref="J6" xr:uid="{1A0EEF00-B912-45C6-B93A-AA22403FA271}">
      <formula1>$C$45:$U$45</formula1>
    </dataValidation>
  </dataValidations>
  <hyperlinks>
    <hyperlink ref="I32:M33" location="'Progress Brief'!A1" tooltip="Complete Your Progress Brief" display="'Progress Brief'!A1" xr:uid="{00000000-0004-0000-06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56A-F643-491B-828B-AAF7C1717E37}">
  <sheetPr codeName="Sheet12">
    <tabColor theme="2"/>
    <pageSetUpPr autoPageBreaks="0" fitToPage="1"/>
  </sheetPr>
  <dimension ref="B1:AB159"/>
  <sheetViews>
    <sheetView showGridLines="0" zoomScale="60" zoomScaleNormal="60" zoomScaleSheetLayoutView="70" workbookViewId="0">
      <selection activeCell="C35" sqref="C35:U35"/>
    </sheetView>
  </sheetViews>
  <sheetFormatPr defaultColWidth="9.109375" defaultRowHeight="14.4" customHeight="1" zeroHeight="1" x14ac:dyDescent="0.3"/>
  <cols>
    <col min="1" max="1" width="2.6640625" style="9" customWidth="1"/>
    <col min="2" max="2" width="3.109375" style="9" customWidth="1"/>
    <col min="3" max="21" width="12.5546875" style="9" customWidth="1"/>
    <col min="22" max="22" width="4.33203125" style="9" customWidth="1"/>
    <col min="23" max="23" width="4.33203125" customWidth="1"/>
    <col min="24" max="25" width="6.5546875" hidden="1" customWidth="1"/>
    <col min="26" max="26" width="9.109375" style="9" hidden="1" customWidth="1"/>
    <col min="27" max="27" width="79.33203125" style="13" hidden="1" customWidth="1"/>
    <col min="28" max="28" width="51.6640625" style="9" hidden="1" customWidth="1"/>
    <col min="29" max="56" width="9.109375" style="9" customWidth="1"/>
    <col min="57" max="16384" width="9.109375" style="9"/>
  </cols>
  <sheetData>
    <row r="1" spans="2:28" x14ac:dyDescent="0.3"/>
    <row r="2" spans="2:28" ht="45.75" customHeight="1" x14ac:dyDescent="0.85">
      <c r="B2" s="244">
        <f>'Review FPET Inputs'!D5</f>
        <v>0</v>
      </c>
      <c r="C2" s="120"/>
      <c r="D2" s="120"/>
      <c r="E2" s="120"/>
      <c r="F2" s="120"/>
      <c r="G2" s="120"/>
      <c r="H2" s="120"/>
      <c r="I2" s="120"/>
      <c r="J2" s="120"/>
      <c r="K2" s="120"/>
      <c r="L2" s="120"/>
      <c r="M2" s="120"/>
      <c r="N2" s="120"/>
      <c r="O2" s="120"/>
      <c r="P2" s="120"/>
      <c r="Q2" s="120"/>
      <c r="R2" s="120"/>
      <c r="S2" s="120"/>
      <c r="T2" s="120"/>
      <c r="U2" s="120"/>
      <c r="V2" s="243"/>
      <c r="AA2" s="247" t="s">
        <v>1242</v>
      </c>
      <c r="AB2" s="248" t="s">
        <v>1243</v>
      </c>
    </row>
    <row r="3" spans="2:28" ht="24.75" customHeight="1" x14ac:dyDescent="0.3">
      <c r="B3" s="245" t="str">
        <f>IF(Language="english", AA2, AB2)</f>
        <v>FP2030 Annual Indicator Calculator: Results 2021</v>
      </c>
      <c r="C3" s="120"/>
      <c r="D3" s="120"/>
      <c r="E3" s="120"/>
      <c r="F3" s="120"/>
      <c r="G3" s="120"/>
      <c r="H3" s="120"/>
      <c r="I3" s="120"/>
      <c r="J3" s="120"/>
      <c r="K3" s="120"/>
      <c r="L3" s="120"/>
      <c r="M3" s="120"/>
      <c r="N3" s="120"/>
      <c r="O3" s="120"/>
      <c r="P3" s="120"/>
      <c r="Q3" s="120"/>
      <c r="R3" s="120"/>
      <c r="S3" s="120"/>
      <c r="T3" s="120"/>
      <c r="U3" s="120"/>
      <c r="V3" s="243"/>
      <c r="AA3" s="42"/>
      <c r="AB3" s="20"/>
    </row>
    <row r="4" spans="2:28" s="27" customFormat="1" ht="23.4" customHeight="1" x14ac:dyDescent="0.3">
      <c r="B4" s="975" t="str">
        <f>IF(Language=English, AA4,AB4)</f>
        <v>Published</v>
      </c>
      <c r="C4" s="975"/>
      <c r="D4" s="976">
        <f ca="1">NOW()</f>
        <v>44631.405463541669</v>
      </c>
      <c r="E4" s="976"/>
      <c r="F4" s="976"/>
      <c r="W4"/>
      <c r="X4" t="s">
        <v>719</v>
      </c>
      <c r="Y4" t="s">
        <v>1233</v>
      </c>
      <c r="AA4" s="42" t="s">
        <v>613</v>
      </c>
      <c r="AB4" s="256" t="s">
        <v>623</v>
      </c>
    </row>
    <row r="5" spans="2:28" ht="23.4" customHeight="1" x14ac:dyDescent="0.3">
      <c r="B5" s="658" t="str">
        <f>IF(Language=English, AA5,AB5)</f>
        <v>For more information about the FP2030 Core Indicators, please visit:</v>
      </c>
      <c r="C5" s="429"/>
      <c r="E5" s="241"/>
      <c r="X5" t="s">
        <v>718</v>
      </c>
      <c r="Y5" t="s">
        <v>1234</v>
      </c>
      <c r="AA5" s="42" t="s">
        <v>1246</v>
      </c>
      <c r="AB5" s="20" t="s">
        <v>1247</v>
      </c>
    </row>
    <row r="6" spans="2:28" ht="23.4" customHeight="1" x14ac:dyDescent="0.3">
      <c r="B6" s="672" t="str">
        <f>IF(Language=English, AA6,AB6)</f>
        <v>www.track20.org</v>
      </c>
      <c r="C6" s="672"/>
      <c r="E6" s="658"/>
      <c r="X6" t="s">
        <v>1029</v>
      </c>
      <c r="Y6" s="716" t="s">
        <v>1235</v>
      </c>
      <c r="AA6" s="249" t="s">
        <v>624</v>
      </c>
      <c r="AB6" s="264" t="s">
        <v>624</v>
      </c>
    </row>
    <row r="7" spans="2:28" ht="16.5" customHeight="1" x14ac:dyDescent="0.3">
      <c r="B7" s="758" t="str">
        <f>IF(Language="English", $AA7, $AB7)</f>
        <v>Modern Contraceptive Use and Need</v>
      </c>
      <c r="C7" s="758"/>
      <c r="D7" s="758"/>
      <c r="E7" s="758"/>
      <c r="F7" s="758"/>
      <c r="G7" s="758"/>
      <c r="H7" s="758"/>
      <c r="I7" s="758"/>
      <c r="J7" s="758"/>
      <c r="K7" s="758"/>
      <c r="L7" s="758"/>
      <c r="M7" s="758"/>
      <c r="N7" s="758"/>
      <c r="O7" s="758"/>
      <c r="P7" s="758"/>
      <c r="Q7" s="758"/>
      <c r="R7" s="758"/>
      <c r="S7" s="758"/>
      <c r="T7" s="758"/>
      <c r="U7" s="758"/>
      <c r="V7" s="685" t="str">
        <f>"Source : Family Planning Estimation Tool (FPET)"&amp;IF( OR('Review FPET Inputs'!I15="yes", 'Review FPET Inputs'!I15="oui"), Z9, "")</f>
        <v>Source : Family Planning Estimation Tool (FPET)</v>
      </c>
      <c r="X7" s="958" t="s">
        <v>1032</v>
      </c>
      <c r="Y7" s="958"/>
      <c r="AA7" s="249" t="s">
        <v>1030</v>
      </c>
      <c r="AB7" t="s">
        <v>1035</v>
      </c>
    </row>
    <row r="8" spans="2:28" ht="6.6" customHeight="1" x14ac:dyDescent="0.3">
      <c r="B8" s="44"/>
      <c r="C8" s="44"/>
      <c r="D8" s="44"/>
      <c r="E8" s="44"/>
      <c r="F8" s="44"/>
      <c r="G8" s="44"/>
      <c r="H8" s="44"/>
      <c r="I8" s="44"/>
      <c r="J8" s="44"/>
      <c r="K8" s="44"/>
      <c r="L8" s="44"/>
      <c r="M8" s="44"/>
      <c r="N8" s="44"/>
      <c r="O8" s="44"/>
      <c r="P8" s="44"/>
      <c r="Q8" s="44"/>
      <c r="R8" s="44"/>
      <c r="S8" s="44"/>
      <c r="T8" s="44"/>
      <c r="U8" s="44"/>
      <c r="AA8" s="42"/>
      <c r="AB8" s="20"/>
    </row>
    <row r="9" spans="2:28" x14ac:dyDescent="0.3">
      <c r="B9" s="962" t="str">
        <f>IF(Language="English", X4, Y4)</f>
        <v>All Women</v>
      </c>
      <c r="C9" s="759">
        <v>2012</v>
      </c>
      <c r="D9" s="760">
        <v>2013</v>
      </c>
      <c r="E9" s="760">
        <v>2014</v>
      </c>
      <c r="F9" s="760">
        <v>2015</v>
      </c>
      <c r="G9" s="760">
        <v>2016</v>
      </c>
      <c r="H9" s="760">
        <v>2017</v>
      </c>
      <c r="I9" s="760">
        <v>2018</v>
      </c>
      <c r="J9" s="760">
        <v>2019</v>
      </c>
      <c r="K9" s="760">
        <v>2020</v>
      </c>
      <c r="L9" s="760">
        <v>2021</v>
      </c>
      <c r="M9" s="760">
        <v>2022</v>
      </c>
      <c r="N9" s="760">
        <v>2023</v>
      </c>
      <c r="O9" s="760">
        <v>2024</v>
      </c>
      <c r="P9" s="760">
        <v>2025</v>
      </c>
      <c r="Q9" s="760">
        <v>2026</v>
      </c>
      <c r="R9" s="760">
        <v>2027</v>
      </c>
      <c r="S9" s="760">
        <v>2028</v>
      </c>
      <c r="T9" s="760">
        <v>2029</v>
      </c>
      <c r="U9" s="761">
        <v>2030</v>
      </c>
      <c r="Z9" s="9" t="str">
        <f>IF(Language=English, AA9, AB9)</f>
        <v>, including service statistics</v>
      </c>
      <c r="AA9" s="42" t="s">
        <v>1042</v>
      </c>
      <c r="AB9" s="9" t="s">
        <v>1041</v>
      </c>
    </row>
    <row r="10" spans="2:28" x14ac:dyDescent="0.3">
      <c r="B10" s="963"/>
      <c r="C10" s="960" t="str">
        <f>IF(Language="English", $AA10, $AB10)</f>
        <v>Total users of modern methods of contraception</v>
      </c>
      <c r="D10" s="960"/>
      <c r="E10" s="960"/>
      <c r="F10" s="960"/>
      <c r="G10" s="960"/>
      <c r="H10" s="960"/>
      <c r="I10" s="960"/>
      <c r="J10" s="960"/>
      <c r="K10" s="960"/>
      <c r="L10" s="960"/>
      <c r="M10" s="960"/>
      <c r="N10" s="960"/>
      <c r="O10" s="960"/>
      <c r="P10" s="960"/>
      <c r="Q10" s="960"/>
      <c r="R10" s="960"/>
      <c r="S10" s="960"/>
      <c r="T10" s="960"/>
      <c r="U10" s="961"/>
      <c r="AA10" s="435" t="s">
        <v>1043</v>
      </c>
      <c r="AB10" s="436" t="s">
        <v>1044</v>
      </c>
    </row>
    <row r="11" spans="2:28" s="44" customFormat="1" ht="15.6" hidden="1" x14ac:dyDescent="0.3">
      <c r="B11" s="963"/>
      <c r="C11" s="744" t="e">
        <f>VLOOKUP($X11&amp;$Y11&amp;"50", 'Indicator Calculations'!$A$8:$Z$52, MATCH(C$9,'Indicator Calculations'!$A$7:$Z$7, 0), FALSE)</f>
        <v>#N/A</v>
      </c>
      <c r="D11" s="686" t="e">
        <f>VLOOKUP($X11&amp;$Y11&amp;"50", 'Indicator Calculations'!$A$8:$Z$52, MATCH(D$9,'Indicator Calculations'!$A$7:$Z$7, 0), FALSE)</f>
        <v>#N/A</v>
      </c>
      <c r="E11" s="686" t="e">
        <f>VLOOKUP($X11&amp;$Y11&amp;"50", 'Indicator Calculations'!$A$8:$Z$52, MATCH(E$9,'Indicator Calculations'!$A$7:$Z$7, 0), FALSE)</f>
        <v>#N/A</v>
      </c>
      <c r="F11" s="686" t="e">
        <f>VLOOKUP($X11&amp;$Y11&amp;"50", 'Indicator Calculations'!$A$8:$Z$52, MATCH(F$9,'Indicator Calculations'!$A$7:$Z$7, 0), FALSE)</f>
        <v>#N/A</v>
      </c>
      <c r="G11" s="686" t="e">
        <f>VLOOKUP($X11&amp;$Y11&amp;"50", 'Indicator Calculations'!$A$8:$Z$52, MATCH(G$9,'Indicator Calculations'!$A$7:$Z$7, 0), FALSE)</f>
        <v>#N/A</v>
      </c>
      <c r="H11" s="686" t="e">
        <f>VLOOKUP($X11&amp;$Y11&amp;"50", 'Indicator Calculations'!$A$8:$Z$52, MATCH(H$9,'Indicator Calculations'!$A$7:$Z$7, 0), FALSE)</f>
        <v>#N/A</v>
      </c>
      <c r="I11" s="686" t="e">
        <f>VLOOKUP($X11&amp;$Y11&amp;"50", 'Indicator Calculations'!$A$8:$Z$52, MATCH(I$9,'Indicator Calculations'!$A$7:$Z$7, 0), FALSE)</f>
        <v>#N/A</v>
      </c>
      <c r="J11" s="686" t="e">
        <f>VLOOKUP($X11&amp;$Y11&amp;"50", 'Indicator Calculations'!$A$8:$Z$52, MATCH(J$9,'Indicator Calculations'!$A$7:$Z$7, 0), FALSE)</f>
        <v>#N/A</v>
      </c>
      <c r="K11" s="686" t="e">
        <f>VLOOKUP($X11&amp;$Y11&amp;"50", 'Indicator Calculations'!$A$8:$Z$52, MATCH(K$9,'Indicator Calculations'!$A$7:$Z$7, 0), FALSE)</f>
        <v>#N/A</v>
      </c>
      <c r="L11" s="686" t="e">
        <f>VLOOKUP($X11&amp;$Y11&amp;"50", 'Indicator Calculations'!$A$8:$Z$52, MATCH(L$9,'Indicator Calculations'!$A$7:$Z$7, 0), FALSE)</f>
        <v>#N/A</v>
      </c>
      <c r="M11" s="686" t="e">
        <f>VLOOKUP($X11&amp;$Y11&amp;"50", 'Indicator Calculations'!$A$8:$Z$52, MATCH(M$9,'Indicator Calculations'!$A$7:$Z$7, 0), FALSE)</f>
        <v>#N/A</v>
      </c>
      <c r="N11" s="686" t="e">
        <f>VLOOKUP($X11&amp;$Y11&amp;"50", 'Indicator Calculations'!$A$8:$Z$52, MATCH(N$9,'Indicator Calculations'!$A$7:$Z$7, 0), FALSE)</f>
        <v>#N/A</v>
      </c>
      <c r="O11" s="686" t="e">
        <f>VLOOKUP($X11&amp;$Y11&amp;"50", 'Indicator Calculations'!$A$8:$Z$52, MATCH(O$9,'Indicator Calculations'!$A$7:$Z$7, 0), FALSE)</f>
        <v>#N/A</v>
      </c>
      <c r="P11" s="686" t="e">
        <f>VLOOKUP($X11&amp;$Y11&amp;"50", 'Indicator Calculations'!$A$8:$Z$52, MATCH(P$9,'Indicator Calculations'!$A$7:$Z$7, 0), FALSE)</f>
        <v>#N/A</v>
      </c>
      <c r="Q11" s="686" t="e">
        <f>VLOOKUP($X11&amp;$Y11&amp;"50", 'Indicator Calculations'!$A$8:$Z$52, MATCH(Q$9,'Indicator Calculations'!$A$7:$Z$7, 0), FALSE)</f>
        <v>#N/A</v>
      </c>
      <c r="R11" s="686" t="e">
        <f>VLOOKUP($X11&amp;$Y11&amp;"50", 'Indicator Calculations'!$A$8:$Z$52, MATCH(R$9,'Indicator Calculations'!$A$7:$Z$7, 0), FALSE)</f>
        <v>#N/A</v>
      </c>
      <c r="S11" s="686" t="e">
        <f>VLOOKUP($X11&amp;$Y11&amp;"50", 'Indicator Calculations'!$A$8:$Z$52, MATCH(S$9,'Indicator Calculations'!$A$7:$Z$7, 0), FALSE)</f>
        <v>#N/A</v>
      </c>
      <c r="T11" s="686" t="e">
        <f>VLOOKUP($X11&amp;$Y11&amp;"50", 'Indicator Calculations'!$A$8:$Z$52, MATCH(T$9,'Indicator Calculations'!$A$7:$Z$7, 0), FALSE)</f>
        <v>#N/A</v>
      </c>
      <c r="U11" s="687" t="e">
        <f>VLOOKUP($X11&amp;$Y11&amp;"50", 'Indicator Calculations'!$A$8:$Z$52, MATCH(U$9,'Indicator Calculations'!$A$7:$Z$7, 0), FALSE)</f>
        <v>#N/A</v>
      </c>
      <c r="W11"/>
      <c r="X11" s="27" t="s">
        <v>505</v>
      </c>
      <c r="Y11" s="44" t="s">
        <v>1033</v>
      </c>
      <c r="AA11" s="435"/>
      <c r="AB11" s="250"/>
    </row>
    <row r="12" spans="2:28" s="44" customFormat="1" ht="15.6" x14ac:dyDescent="0.3">
      <c r="B12" s="963"/>
      <c r="C12" s="744" t="e">
        <f>IF(C11&gt;100000,ROUNDDOWN(C11,-4),IF(C11&gt;10000,ROUNDDOWN(C11,-3),ROUNDDOWN(C11,-2)))</f>
        <v>#N/A</v>
      </c>
      <c r="D12" s="744" t="e">
        <f t="shared" ref="D12:U12" si="0">IF(D11&gt;100000,ROUNDDOWN(D11,-4),IF(D11&gt;10000,ROUNDDOWN(D11,-3),ROUNDDOWN(D11,-2)))</f>
        <v>#N/A</v>
      </c>
      <c r="E12" s="744" t="e">
        <f t="shared" si="0"/>
        <v>#N/A</v>
      </c>
      <c r="F12" s="744" t="e">
        <f t="shared" si="0"/>
        <v>#N/A</v>
      </c>
      <c r="G12" s="744" t="e">
        <f t="shared" si="0"/>
        <v>#N/A</v>
      </c>
      <c r="H12" s="744" t="e">
        <f t="shared" si="0"/>
        <v>#N/A</v>
      </c>
      <c r="I12" s="744" t="e">
        <f t="shared" si="0"/>
        <v>#N/A</v>
      </c>
      <c r="J12" s="744" t="e">
        <f t="shared" si="0"/>
        <v>#N/A</v>
      </c>
      <c r="K12" s="744" t="e">
        <f t="shared" si="0"/>
        <v>#N/A</v>
      </c>
      <c r="L12" s="744" t="e">
        <f t="shared" si="0"/>
        <v>#N/A</v>
      </c>
      <c r="M12" s="744" t="e">
        <f t="shared" si="0"/>
        <v>#N/A</v>
      </c>
      <c r="N12" s="744" t="e">
        <f t="shared" si="0"/>
        <v>#N/A</v>
      </c>
      <c r="O12" s="744" t="e">
        <f t="shared" si="0"/>
        <v>#N/A</v>
      </c>
      <c r="P12" s="744" t="e">
        <f t="shared" si="0"/>
        <v>#N/A</v>
      </c>
      <c r="Q12" s="744" t="e">
        <f t="shared" si="0"/>
        <v>#N/A</v>
      </c>
      <c r="R12" s="744" t="e">
        <f t="shared" si="0"/>
        <v>#N/A</v>
      </c>
      <c r="S12" s="744" t="e">
        <f t="shared" si="0"/>
        <v>#N/A</v>
      </c>
      <c r="T12" s="744" t="e">
        <f t="shared" si="0"/>
        <v>#N/A</v>
      </c>
      <c r="U12" s="826" t="e">
        <f t="shared" si="0"/>
        <v>#N/A</v>
      </c>
      <c r="W12" s="716"/>
      <c r="X12" s="27" t="s">
        <v>505</v>
      </c>
      <c r="Y12" s="44" t="s">
        <v>1033</v>
      </c>
      <c r="AA12" s="435"/>
      <c r="AB12" s="250"/>
    </row>
    <row r="13" spans="2:28" x14ac:dyDescent="0.3">
      <c r="B13" s="963"/>
      <c r="C13" s="762" t="str">
        <f>IF(Language="English", $AA13, $AB13)</f>
        <v>Modern contraceptive prevalence rate (mCPR)</v>
      </c>
      <c r="D13" s="763"/>
      <c r="E13" s="763"/>
      <c r="F13" s="763"/>
      <c r="G13" s="763"/>
      <c r="H13" s="763"/>
      <c r="I13" s="763"/>
      <c r="J13" s="763"/>
      <c r="K13" s="763"/>
      <c r="L13" s="763"/>
      <c r="M13" s="763"/>
      <c r="N13" s="763"/>
      <c r="O13" s="763"/>
      <c r="P13" s="764"/>
      <c r="Q13" s="764"/>
      <c r="R13" s="764"/>
      <c r="S13" s="764"/>
      <c r="T13" s="764"/>
      <c r="U13" s="765"/>
      <c r="X13" s="27"/>
      <c r="AA13" s="435" t="s">
        <v>1048</v>
      </c>
      <c r="AB13" s="436" t="s">
        <v>1045</v>
      </c>
    </row>
    <row r="14" spans="2:28" s="44" customFormat="1" ht="15.6" x14ac:dyDescent="0.3">
      <c r="B14" s="963"/>
      <c r="C14" s="745">
        <f>VLOOKUP($X14&amp;$Y14&amp;"50", 'Indicator Calculations'!$A$8:$Z$52, MATCH(C$9,'Indicator Calculations'!$A$7:$Z$7, 0), FALSE)</f>
        <v>0</v>
      </c>
      <c r="D14" s="668">
        <f>VLOOKUP($X14&amp;$Y14&amp;"50", 'Indicator Calculations'!$A$8:$Z$52, MATCH(D$9,'Indicator Calculations'!$A$7:$Z$7, 0), FALSE)</f>
        <v>0</v>
      </c>
      <c r="E14" s="668">
        <f>VLOOKUP($X14&amp;$Y14&amp;"50", 'Indicator Calculations'!$A$8:$Z$52, MATCH(E$9,'Indicator Calculations'!$A$7:$Z$7, 0), FALSE)</f>
        <v>0</v>
      </c>
      <c r="F14" s="668">
        <f>VLOOKUP($X14&amp;$Y14&amp;"50", 'Indicator Calculations'!$A$8:$Z$52, MATCH(F$9,'Indicator Calculations'!$A$7:$Z$7, 0), FALSE)</f>
        <v>0</v>
      </c>
      <c r="G14" s="668">
        <f>VLOOKUP($X14&amp;$Y14&amp;"50", 'Indicator Calculations'!$A$8:$Z$52, MATCH(G$9,'Indicator Calculations'!$A$7:$Z$7, 0), FALSE)</f>
        <v>0</v>
      </c>
      <c r="H14" s="668">
        <f>VLOOKUP($X14&amp;$Y14&amp;"50", 'Indicator Calculations'!$A$8:$Z$52, MATCH(H$9,'Indicator Calculations'!$A$7:$Z$7, 0), FALSE)</f>
        <v>0</v>
      </c>
      <c r="I14" s="668">
        <f>VLOOKUP($X14&amp;$Y14&amp;"50", 'Indicator Calculations'!$A$8:$Z$52, MATCH(I$9,'Indicator Calculations'!$A$7:$Z$7, 0), FALSE)</f>
        <v>0</v>
      </c>
      <c r="J14" s="668">
        <f>VLOOKUP($X14&amp;$Y14&amp;"50", 'Indicator Calculations'!$A$8:$Z$52, MATCH(J$9,'Indicator Calculations'!$A$7:$Z$7, 0), FALSE)</f>
        <v>0</v>
      </c>
      <c r="K14" s="668">
        <f>VLOOKUP($X14&amp;$Y14&amp;"50", 'Indicator Calculations'!$A$8:$Z$52, MATCH(K$9,'Indicator Calculations'!$A$7:$Z$7, 0), FALSE)</f>
        <v>0</v>
      </c>
      <c r="L14" s="668">
        <f>VLOOKUP($X14&amp;$Y14&amp;"50", 'Indicator Calculations'!$A$8:$Z$52, MATCH(L$9,'Indicator Calculations'!$A$7:$Z$7, 0), FALSE)</f>
        <v>0</v>
      </c>
      <c r="M14" s="668">
        <f>VLOOKUP($X14&amp;$Y14&amp;"50", 'Indicator Calculations'!$A$8:$Z$52, MATCH(M$9,'Indicator Calculations'!$A$7:$Z$7, 0), FALSE)</f>
        <v>0</v>
      </c>
      <c r="N14" s="668">
        <f>VLOOKUP($X14&amp;$Y14&amp;"50", 'Indicator Calculations'!$A$8:$Z$52, MATCH(N$9,'Indicator Calculations'!$A$7:$Z$7, 0), FALSE)</f>
        <v>0</v>
      </c>
      <c r="O14" s="668">
        <f>VLOOKUP($X14&amp;$Y14&amp;"50", 'Indicator Calculations'!$A$8:$Z$52, MATCH(O$9,'Indicator Calculations'!$A$7:$Z$7, 0), FALSE)</f>
        <v>0</v>
      </c>
      <c r="P14" s="668">
        <f>VLOOKUP($X14&amp;$Y14&amp;"50", 'Indicator Calculations'!$A$8:$Z$52, MATCH(P$9,'Indicator Calculations'!$A$7:$Z$7, 0), FALSE)</f>
        <v>0</v>
      </c>
      <c r="Q14" s="668">
        <f>VLOOKUP($X14&amp;$Y14&amp;"50", 'Indicator Calculations'!$A$8:$Z$52, MATCH(Q$9,'Indicator Calculations'!$A$7:$Z$7, 0), FALSE)</f>
        <v>0</v>
      </c>
      <c r="R14" s="668">
        <f>VLOOKUP($X14&amp;$Y14&amp;"50", 'Indicator Calculations'!$A$8:$Z$52, MATCH(R$9,'Indicator Calculations'!$A$7:$Z$7, 0), FALSE)</f>
        <v>0</v>
      </c>
      <c r="S14" s="668">
        <f>VLOOKUP($X14&amp;$Y14&amp;"50", 'Indicator Calculations'!$A$8:$Z$52, MATCH(S$9,'Indicator Calculations'!$A$7:$Z$7, 0), FALSE)</f>
        <v>0</v>
      </c>
      <c r="T14" s="668">
        <f>VLOOKUP($X14&amp;$Y14&amp;"50", 'Indicator Calculations'!$A$8:$Z$52, MATCH(T$9,'Indicator Calculations'!$A$7:$Z$7, 0), FALSE)</f>
        <v>0</v>
      </c>
      <c r="U14" s="669">
        <f>VLOOKUP($X14&amp;$Y14&amp;"50", 'Indicator Calculations'!$A$8:$Z$52, MATCH(U$9,'Indicator Calculations'!$A$7:$Z$7, 0), FALSE)</f>
        <v>0</v>
      </c>
      <c r="W14"/>
      <c r="X14" s="27" t="s">
        <v>505</v>
      </c>
      <c r="Y14" s="684" t="s">
        <v>1014</v>
      </c>
      <c r="AA14" s="435"/>
      <c r="AB14" s="250"/>
    </row>
    <row r="15" spans="2:28" x14ac:dyDescent="0.3">
      <c r="B15" s="963"/>
      <c r="C15" s="762" t="str">
        <f>IF(Language="English", $AA15, $AB15)</f>
        <v xml:space="preserve">Percentage of women estimated to have an unmet need  for modern methods of contraception (mUMN) </v>
      </c>
      <c r="D15" s="763"/>
      <c r="E15" s="763"/>
      <c r="F15" s="763"/>
      <c r="G15" s="763"/>
      <c r="H15" s="763"/>
      <c r="I15" s="763"/>
      <c r="J15" s="763"/>
      <c r="K15" s="763"/>
      <c r="L15" s="763"/>
      <c r="M15" s="763"/>
      <c r="N15" s="763"/>
      <c r="O15" s="763"/>
      <c r="P15" s="764"/>
      <c r="Q15" s="764"/>
      <c r="R15" s="764"/>
      <c r="S15" s="764"/>
      <c r="T15" s="764"/>
      <c r="U15" s="765"/>
      <c r="X15" s="27"/>
      <c r="Y15" s="44"/>
      <c r="AA15" s="9" t="s">
        <v>1046</v>
      </c>
      <c r="AB15" s="20" t="s">
        <v>1049</v>
      </c>
    </row>
    <row r="16" spans="2:28" s="44" customFormat="1" ht="15.6" x14ac:dyDescent="0.3">
      <c r="B16" s="963"/>
      <c r="C16" s="745">
        <f>VLOOKUP($X16&amp;$Y16&amp;"50", 'Indicator Calculations'!$A$8:$Z$52, MATCH(C$9,'Indicator Calculations'!$A$7:$Z$7, 0), FALSE)</f>
        <v>0</v>
      </c>
      <c r="D16" s="668">
        <f>VLOOKUP($X16&amp;$Y16&amp;"50", 'Indicator Calculations'!$A$8:$Z$52, MATCH(D$9,'Indicator Calculations'!$A$7:$Z$7, 0), FALSE)</f>
        <v>0</v>
      </c>
      <c r="E16" s="668">
        <f>VLOOKUP($X16&amp;$Y16&amp;"50", 'Indicator Calculations'!$A$8:$Z$52, MATCH(E$9,'Indicator Calculations'!$A$7:$Z$7, 0), FALSE)</f>
        <v>0</v>
      </c>
      <c r="F16" s="668">
        <f>VLOOKUP($X16&amp;$Y16&amp;"50", 'Indicator Calculations'!$A$8:$Z$52, MATCH(F$9,'Indicator Calculations'!$A$7:$Z$7, 0), FALSE)</f>
        <v>0</v>
      </c>
      <c r="G16" s="668">
        <f>VLOOKUP($X16&amp;$Y16&amp;"50", 'Indicator Calculations'!$A$8:$Z$52, MATCH(G$9,'Indicator Calculations'!$A$7:$Z$7, 0), FALSE)</f>
        <v>0</v>
      </c>
      <c r="H16" s="668">
        <f>VLOOKUP($X16&amp;$Y16&amp;"50", 'Indicator Calculations'!$A$8:$Z$52, MATCH(H$9,'Indicator Calculations'!$A$7:$Z$7, 0), FALSE)</f>
        <v>0</v>
      </c>
      <c r="I16" s="668">
        <f>VLOOKUP($X16&amp;$Y16&amp;"50", 'Indicator Calculations'!$A$8:$Z$52, MATCH(I$9,'Indicator Calculations'!$A$7:$Z$7, 0), FALSE)</f>
        <v>0</v>
      </c>
      <c r="J16" s="668">
        <f>VLOOKUP($X16&amp;$Y16&amp;"50", 'Indicator Calculations'!$A$8:$Z$52, MATCH(J$9,'Indicator Calculations'!$A$7:$Z$7, 0), FALSE)</f>
        <v>0</v>
      </c>
      <c r="K16" s="668">
        <f>VLOOKUP($X16&amp;$Y16&amp;"50", 'Indicator Calculations'!$A$8:$Z$52, MATCH(K$9,'Indicator Calculations'!$A$7:$Z$7, 0), FALSE)</f>
        <v>0</v>
      </c>
      <c r="L16" s="668">
        <f>VLOOKUP($X16&amp;$Y16&amp;"50", 'Indicator Calculations'!$A$8:$Z$52, MATCH(L$9,'Indicator Calculations'!$A$7:$Z$7, 0), FALSE)</f>
        <v>0</v>
      </c>
      <c r="M16" s="668">
        <f>VLOOKUP($X16&amp;$Y16&amp;"50", 'Indicator Calculations'!$A$8:$Z$52, MATCH(M$9,'Indicator Calculations'!$A$7:$Z$7, 0), FALSE)</f>
        <v>0</v>
      </c>
      <c r="N16" s="668">
        <f>VLOOKUP($X16&amp;$Y16&amp;"50", 'Indicator Calculations'!$A$8:$Z$52, MATCH(N$9,'Indicator Calculations'!$A$7:$Z$7, 0), FALSE)</f>
        <v>0</v>
      </c>
      <c r="O16" s="668">
        <f>VLOOKUP($X16&amp;$Y16&amp;"50", 'Indicator Calculations'!$A$8:$Z$52, MATCH(O$9,'Indicator Calculations'!$A$7:$Z$7, 0), FALSE)</f>
        <v>0</v>
      </c>
      <c r="P16" s="668">
        <f>VLOOKUP($X16&amp;$Y16&amp;"50", 'Indicator Calculations'!$A$8:$Z$52, MATCH(P$9,'Indicator Calculations'!$A$7:$Z$7, 0), FALSE)</f>
        <v>0</v>
      </c>
      <c r="Q16" s="668">
        <f>VLOOKUP($X16&amp;$Y16&amp;"50", 'Indicator Calculations'!$A$8:$Z$52, MATCH(Q$9,'Indicator Calculations'!$A$7:$Z$7, 0), FALSE)</f>
        <v>0</v>
      </c>
      <c r="R16" s="668">
        <f>VLOOKUP($X16&amp;$Y16&amp;"50", 'Indicator Calculations'!$A$8:$Z$52, MATCH(R$9,'Indicator Calculations'!$A$7:$Z$7, 0), FALSE)</f>
        <v>0</v>
      </c>
      <c r="S16" s="668">
        <f>VLOOKUP($X16&amp;$Y16&amp;"50", 'Indicator Calculations'!$A$8:$Z$52, MATCH(S$9,'Indicator Calculations'!$A$7:$Z$7, 0), FALSE)</f>
        <v>0</v>
      </c>
      <c r="T16" s="668">
        <f>VLOOKUP($X16&amp;$Y16&amp;"50", 'Indicator Calculations'!$A$8:$Z$52, MATCH(T$9,'Indicator Calculations'!$A$7:$Z$7, 0), FALSE)</f>
        <v>0</v>
      </c>
      <c r="U16" s="669">
        <f>VLOOKUP($X16&amp;$Y16&amp;"50", 'Indicator Calculations'!$A$8:$Z$52, MATCH(U$9,'Indicator Calculations'!$A$7:$Z$7, 0), FALSE)</f>
        <v>0</v>
      </c>
      <c r="W16"/>
      <c r="X16" s="27" t="s">
        <v>505</v>
      </c>
      <c r="Y16" s="684" t="s">
        <v>1017</v>
      </c>
      <c r="AA16" s="435"/>
      <c r="AB16" s="250"/>
    </row>
    <row r="17" spans="2:28" x14ac:dyDescent="0.3">
      <c r="B17" s="963"/>
      <c r="C17" s="762" t="str">
        <f>IF(Language="English", $AA17, $AB17)</f>
        <v>Percentage of women estimated to have their demand for family planning is satisfied met with a modern method of contraception (mDS)</v>
      </c>
      <c r="D17" s="763"/>
      <c r="E17" s="763"/>
      <c r="F17" s="763"/>
      <c r="G17" s="763"/>
      <c r="H17" s="763"/>
      <c r="I17" s="763"/>
      <c r="J17" s="763"/>
      <c r="K17" s="763"/>
      <c r="L17" s="763"/>
      <c r="M17" s="763"/>
      <c r="N17" s="763"/>
      <c r="O17" s="763"/>
      <c r="P17" s="764"/>
      <c r="Q17" s="764"/>
      <c r="R17" s="764"/>
      <c r="S17" s="764"/>
      <c r="T17" s="764"/>
      <c r="U17" s="765"/>
      <c r="X17" s="27"/>
      <c r="Y17" s="44"/>
      <c r="AA17" t="s">
        <v>1047</v>
      </c>
      <c r="AB17" s="250" t="s">
        <v>1050</v>
      </c>
    </row>
    <row r="18" spans="2:28" s="44" customFormat="1" ht="15.6" x14ac:dyDescent="0.3">
      <c r="B18" s="964"/>
      <c r="C18" s="746">
        <f>VLOOKUP($X18&amp;$Y18&amp;"50", 'Indicator Calculations'!$A$8:$Z$52, MATCH(C$9,'Indicator Calculations'!$A$7:$Z$7, 0), FALSE)</f>
        <v>0</v>
      </c>
      <c r="D18" s="670">
        <f>VLOOKUP($X18&amp;$Y18&amp;"50", 'Indicator Calculations'!$A$8:$Z$52, MATCH(D$9,'Indicator Calculations'!$A$7:$Z$7, 0), FALSE)</f>
        <v>0</v>
      </c>
      <c r="E18" s="670">
        <f>VLOOKUP($X18&amp;$Y18&amp;"50", 'Indicator Calculations'!$A$8:$Z$52, MATCH(E$9,'Indicator Calculations'!$A$7:$Z$7, 0), FALSE)</f>
        <v>0</v>
      </c>
      <c r="F18" s="670">
        <f>VLOOKUP($X18&amp;$Y18&amp;"50", 'Indicator Calculations'!$A$8:$Z$52, MATCH(F$9,'Indicator Calculations'!$A$7:$Z$7, 0), FALSE)</f>
        <v>0</v>
      </c>
      <c r="G18" s="670">
        <f>VLOOKUP($X18&amp;$Y18&amp;"50", 'Indicator Calculations'!$A$8:$Z$52, MATCH(G$9,'Indicator Calculations'!$A$7:$Z$7, 0), FALSE)</f>
        <v>0</v>
      </c>
      <c r="H18" s="670">
        <f>VLOOKUP($X18&amp;$Y18&amp;"50", 'Indicator Calculations'!$A$8:$Z$52, MATCH(H$9,'Indicator Calculations'!$A$7:$Z$7, 0), FALSE)</f>
        <v>0</v>
      </c>
      <c r="I18" s="670">
        <f>VLOOKUP($X18&amp;$Y18&amp;"50", 'Indicator Calculations'!$A$8:$Z$52, MATCH(I$9,'Indicator Calculations'!$A$7:$Z$7, 0), FALSE)</f>
        <v>0</v>
      </c>
      <c r="J18" s="670">
        <f>VLOOKUP($X18&amp;$Y18&amp;"50", 'Indicator Calculations'!$A$8:$Z$52, MATCH(J$9,'Indicator Calculations'!$A$7:$Z$7, 0), FALSE)</f>
        <v>0</v>
      </c>
      <c r="K18" s="670">
        <f>VLOOKUP($X18&amp;$Y18&amp;"50", 'Indicator Calculations'!$A$8:$Z$52, MATCH(K$9,'Indicator Calculations'!$A$7:$Z$7, 0), FALSE)</f>
        <v>0</v>
      </c>
      <c r="L18" s="670">
        <f>VLOOKUP($X18&amp;$Y18&amp;"50", 'Indicator Calculations'!$A$8:$Z$52, MATCH(L$9,'Indicator Calculations'!$A$7:$Z$7, 0), FALSE)</f>
        <v>0</v>
      </c>
      <c r="M18" s="670">
        <f>VLOOKUP($X18&amp;$Y18&amp;"50", 'Indicator Calculations'!$A$8:$Z$52, MATCH(M$9,'Indicator Calculations'!$A$7:$Z$7, 0), FALSE)</f>
        <v>0</v>
      </c>
      <c r="N18" s="670">
        <f>VLOOKUP($X18&amp;$Y18&amp;"50", 'Indicator Calculations'!$A$8:$Z$52, MATCH(N$9,'Indicator Calculations'!$A$7:$Z$7, 0), FALSE)</f>
        <v>0</v>
      </c>
      <c r="O18" s="670">
        <f>VLOOKUP($X18&amp;$Y18&amp;"50", 'Indicator Calculations'!$A$8:$Z$52, MATCH(O$9,'Indicator Calculations'!$A$7:$Z$7, 0), FALSE)</f>
        <v>0</v>
      </c>
      <c r="P18" s="670">
        <f>VLOOKUP($X18&amp;$Y18&amp;"50", 'Indicator Calculations'!$A$8:$Z$52, MATCH(P$9,'Indicator Calculations'!$A$7:$Z$7, 0), FALSE)</f>
        <v>0</v>
      </c>
      <c r="Q18" s="670">
        <f>VLOOKUP($X18&amp;$Y18&amp;"50", 'Indicator Calculations'!$A$8:$Z$52, MATCH(Q$9,'Indicator Calculations'!$A$7:$Z$7, 0), FALSE)</f>
        <v>0</v>
      </c>
      <c r="R18" s="670">
        <f>VLOOKUP($X18&amp;$Y18&amp;"50", 'Indicator Calculations'!$A$8:$Z$52, MATCH(R$9,'Indicator Calculations'!$A$7:$Z$7, 0), FALSE)</f>
        <v>0</v>
      </c>
      <c r="S18" s="670">
        <f>VLOOKUP($X18&amp;$Y18&amp;"50", 'Indicator Calculations'!$A$8:$Z$52, MATCH(S$9,'Indicator Calculations'!$A$7:$Z$7, 0), FALSE)</f>
        <v>0</v>
      </c>
      <c r="T18" s="670">
        <f>VLOOKUP($X18&amp;$Y18&amp;"50", 'Indicator Calculations'!$A$8:$Z$52, MATCH(T$9,'Indicator Calculations'!$A$7:$Z$7, 0), FALSE)</f>
        <v>0</v>
      </c>
      <c r="U18" s="671">
        <f>VLOOKUP($X18&amp;$Y18&amp;"50", 'Indicator Calculations'!$A$8:$Z$52, MATCH(U$9,'Indicator Calculations'!$A$7:$Z$7, 0), FALSE)</f>
        <v>0</v>
      </c>
      <c r="W18"/>
      <c r="X18" s="27" t="s">
        <v>505</v>
      </c>
      <c r="Y18" s="684" t="s">
        <v>1016</v>
      </c>
      <c r="AA18" s="435"/>
      <c r="AB18" s="250"/>
    </row>
    <row r="19" spans="2:28" ht="10.199999999999999" customHeight="1" x14ac:dyDescent="0.3">
      <c r="B19" s="44"/>
      <c r="C19" s="44"/>
      <c r="D19" s="44"/>
      <c r="E19" s="44"/>
      <c r="F19" s="44"/>
      <c r="G19" s="44"/>
      <c r="H19" s="44"/>
      <c r="I19" s="44"/>
      <c r="J19" s="44"/>
      <c r="K19" s="44"/>
      <c r="L19" s="44"/>
      <c r="M19" s="44"/>
      <c r="N19" s="44"/>
      <c r="O19" s="44"/>
      <c r="P19" s="44"/>
      <c r="Q19" s="44"/>
      <c r="R19" s="44"/>
      <c r="S19" s="44"/>
      <c r="T19" s="44"/>
      <c r="U19" s="44"/>
      <c r="AA19" s="42"/>
      <c r="AB19" s="20"/>
    </row>
    <row r="20" spans="2:28" ht="14.4" customHeight="1" x14ac:dyDescent="0.3">
      <c r="B20" s="962" t="str">
        <f>IF(Language="English", X5, Y5)</f>
        <v>Married Women</v>
      </c>
      <c r="C20" s="759">
        <v>2012</v>
      </c>
      <c r="D20" s="760">
        <v>2013</v>
      </c>
      <c r="E20" s="760">
        <v>2014</v>
      </c>
      <c r="F20" s="760">
        <v>2015</v>
      </c>
      <c r="G20" s="760">
        <v>2016</v>
      </c>
      <c r="H20" s="760">
        <v>2017</v>
      </c>
      <c r="I20" s="760">
        <v>2018</v>
      </c>
      <c r="J20" s="760">
        <v>2019</v>
      </c>
      <c r="K20" s="760">
        <v>2020</v>
      </c>
      <c r="L20" s="760">
        <v>2021</v>
      </c>
      <c r="M20" s="760">
        <v>2022</v>
      </c>
      <c r="N20" s="760">
        <v>2023</v>
      </c>
      <c r="O20" s="760">
        <v>2024</v>
      </c>
      <c r="P20" s="760">
        <v>2025</v>
      </c>
      <c r="Q20" s="760">
        <v>2026</v>
      </c>
      <c r="R20" s="760">
        <v>2027</v>
      </c>
      <c r="S20" s="760">
        <v>2028</v>
      </c>
      <c r="T20" s="760">
        <v>2029</v>
      </c>
      <c r="U20" s="761">
        <v>2030</v>
      </c>
      <c r="AA20" s="42"/>
      <c r="AB20" s="20"/>
    </row>
    <row r="21" spans="2:28" x14ac:dyDescent="0.3">
      <c r="B21" s="963"/>
      <c r="C21" s="960" t="str">
        <f>IF(Language="English", $AA21, $AB21)</f>
        <v>Total users of modern methods of contraception</v>
      </c>
      <c r="D21" s="960"/>
      <c r="E21" s="960"/>
      <c r="F21" s="960"/>
      <c r="G21" s="960"/>
      <c r="H21" s="960"/>
      <c r="I21" s="960"/>
      <c r="J21" s="960"/>
      <c r="K21" s="960"/>
      <c r="L21" s="960"/>
      <c r="M21" s="960"/>
      <c r="N21" s="960"/>
      <c r="O21" s="960"/>
      <c r="P21" s="960"/>
      <c r="Q21" s="960"/>
      <c r="R21" s="960"/>
      <c r="S21" s="960"/>
      <c r="T21" s="960"/>
      <c r="U21" s="961"/>
      <c r="AA21" s="435" t="s">
        <v>1043</v>
      </c>
      <c r="AB21" s="436" t="s">
        <v>1044</v>
      </c>
    </row>
    <row r="22" spans="2:28" s="44" customFormat="1" ht="15.6" hidden="1" x14ac:dyDescent="0.3">
      <c r="B22" s="963"/>
      <c r="C22" s="744" t="e">
        <f>VLOOKUP($X22&amp;$Y22&amp;"50", 'Indicator Calculations'!$A$8:$Z$52, MATCH(C$9,'Indicator Calculations'!$A$7:$Z$7, 0), FALSE)</f>
        <v>#N/A</v>
      </c>
      <c r="D22" s="686" t="e">
        <f>VLOOKUP($X22&amp;$Y22&amp;"50", 'Indicator Calculations'!$A$8:$Z$52, MATCH(D$9,'Indicator Calculations'!$A$7:$Z$7, 0), FALSE)</f>
        <v>#N/A</v>
      </c>
      <c r="E22" s="686" t="e">
        <f>VLOOKUP($X22&amp;$Y22&amp;"50", 'Indicator Calculations'!$A$8:$Z$52, MATCH(E$9,'Indicator Calculations'!$A$7:$Z$7, 0), FALSE)</f>
        <v>#N/A</v>
      </c>
      <c r="F22" s="686" t="e">
        <f>VLOOKUP($X22&amp;$Y22&amp;"50", 'Indicator Calculations'!$A$8:$Z$52, MATCH(F$9,'Indicator Calculations'!$A$7:$Z$7, 0), FALSE)</f>
        <v>#N/A</v>
      </c>
      <c r="G22" s="686" t="e">
        <f>VLOOKUP($X22&amp;$Y22&amp;"50", 'Indicator Calculations'!$A$8:$Z$52, MATCH(G$9,'Indicator Calculations'!$A$7:$Z$7, 0), FALSE)</f>
        <v>#N/A</v>
      </c>
      <c r="H22" s="686" t="e">
        <f>VLOOKUP($X22&amp;$Y22&amp;"50", 'Indicator Calculations'!$A$8:$Z$52, MATCH(H$9,'Indicator Calculations'!$A$7:$Z$7, 0), FALSE)</f>
        <v>#N/A</v>
      </c>
      <c r="I22" s="686" t="e">
        <f>VLOOKUP($X22&amp;$Y22&amp;"50", 'Indicator Calculations'!$A$8:$Z$52, MATCH(I$9,'Indicator Calculations'!$A$7:$Z$7, 0), FALSE)</f>
        <v>#N/A</v>
      </c>
      <c r="J22" s="686" t="e">
        <f>VLOOKUP($X22&amp;$Y22&amp;"50", 'Indicator Calculations'!$A$8:$Z$52, MATCH(J$9,'Indicator Calculations'!$A$7:$Z$7, 0), FALSE)</f>
        <v>#N/A</v>
      </c>
      <c r="K22" s="686" t="e">
        <f>VLOOKUP($X22&amp;$Y22&amp;"50", 'Indicator Calculations'!$A$8:$Z$52, MATCH(K$9,'Indicator Calculations'!$A$7:$Z$7, 0), FALSE)</f>
        <v>#N/A</v>
      </c>
      <c r="L22" s="686" t="e">
        <f>VLOOKUP($X22&amp;$Y22&amp;"50", 'Indicator Calculations'!$A$8:$Z$52, MATCH(L$9,'Indicator Calculations'!$A$7:$Z$7, 0), FALSE)</f>
        <v>#N/A</v>
      </c>
      <c r="M22" s="686" t="e">
        <f>VLOOKUP($X22&amp;$Y22&amp;"50", 'Indicator Calculations'!$A$8:$Z$52, MATCH(M$9,'Indicator Calculations'!$A$7:$Z$7, 0), FALSE)</f>
        <v>#N/A</v>
      </c>
      <c r="N22" s="686" t="e">
        <f>VLOOKUP($X22&amp;$Y22&amp;"50", 'Indicator Calculations'!$A$8:$Z$52, MATCH(N$9,'Indicator Calculations'!$A$7:$Z$7, 0), FALSE)</f>
        <v>#N/A</v>
      </c>
      <c r="O22" s="686" t="e">
        <f>VLOOKUP($X22&amp;$Y22&amp;"50", 'Indicator Calculations'!$A$8:$Z$52, MATCH(O$9,'Indicator Calculations'!$A$7:$Z$7, 0), FALSE)</f>
        <v>#N/A</v>
      </c>
      <c r="P22" s="686" t="e">
        <f>VLOOKUP($X22&amp;$Y22&amp;"50", 'Indicator Calculations'!$A$8:$Z$52, MATCH(P$9,'Indicator Calculations'!$A$7:$Z$7, 0), FALSE)</f>
        <v>#N/A</v>
      </c>
      <c r="Q22" s="686" t="e">
        <f>VLOOKUP($X22&amp;$Y22&amp;"50", 'Indicator Calculations'!$A$8:$Z$52, MATCH(Q$9,'Indicator Calculations'!$A$7:$Z$7, 0), FALSE)</f>
        <v>#N/A</v>
      </c>
      <c r="R22" s="686" t="e">
        <f>VLOOKUP($X22&amp;$Y22&amp;"50", 'Indicator Calculations'!$A$8:$Z$52, MATCH(R$9,'Indicator Calculations'!$A$7:$Z$7, 0), FALSE)</f>
        <v>#N/A</v>
      </c>
      <c r="S22" s="686" t="e">
        <f>VLOOKUP($X22&amp;$Y22&amp;"50", 'Indicator Calculations'!$A$8:$Z$52, MATCH(S$9,'Indicator Calculations'!$A$7:$Z$7, 0), FALSE)</f>
        <v>#N/A</v>
      </c>
      <c r="T22" s="686" t="e">
        <f>VLOOKUP($X22&amp;$Y22&amp;"50", 'Indicator Calculations'!$A$8:$Z$52, MATCH(T$9,'Indicator Calculations'!$A$7:$Z$7, 0), FALSE)</f>
        <v>#N/A</v>
      </c>
      <c r="U22" s="687" t="e">
        <f>VLOOKUP($X22&amp;$Y22&amp;"50", 'Indicator Calculations'!$A$8:$Z$52, MATCH(U$9,'Indicator Calculations'!$A$7:$Z$7, 0), FALSE)</f>
        <v>#N/A</v>
      </c>
      <c r="W22"/>
      <c r="X22" s="27" t="s">
        <v>511</v>
      </c>
      <c r="Y22" s="44" t="s">
        <v>1033</v>
      </c>
      <c r="AA22" s="435"/>
      <c r="AB22" s="250"/>
    </row>
    <row r="23" spans="2:28" s="44" customFormat="1" ht="15.6" x14ac:dyDescent="0.3">
      <c r="B23" s="963"/>
      <c r="C23" s="744" t="e">
        <f>IF(C22&gt;100000,ROUNDDOWN(C22,-4),IF(C22&gt;10000,ROUNDDOWN(C22,-3),ROUNDDOWN(C22,-2)))</f>
        <v>#N/A</v>
      </c>
      <c r="D23" s="744" t="e">
        <f t="shared" ref="D23" si="1">IF(D22&gt;100000,ROUNDDOWN(D22,-4),IF(D22&gt;10000,ROUNDDOWN(D22,-3),ROUNDDOWN(D22,-2)))</f>
        <v>#N/A</v>
      </c>
      <c r="E23" s="744" t="e">
        <f t="shared" ref="E23" si="2">IF(E22&gt;100000,ROUNDDOWN(E22,-4),IF(E22&gt;10000,ROUNDDOWN(E22,-3),ROUNDDOWN(E22,-2)))</f>
        <v>#N/A</v>
      </c>
      <c r="F23" s="744" t="e">
        <f t="shared" ref="F23" si="3">IF(F22&gt;100000,ROUNDDOWN(F22,-4),IF(F22&gt;10000,ROUNDDOWN(F22,-3),ROUNDDOWN(F22,-2)))</f>
        <v>#N/A</v>
      </c>
      <c r="G23" s="744" t="e">
        <f t="shared" ref="G23" si="4">IF(G22&gt;100000,ROUNDDOWN(G22,-4),IF(G22&gt;10000,ROUNDDOWN(G22,-3),ROUNDDOWN(G22,-2)))</f>
        <v>#N/A</v>
      </c>
      <c r="H23" s="744" t="e">
        <f t="shared" ref="H23" si="5">IF(H22&gt;100000,ROUNDDOWN(H22,-4),IF(H22&gt;10000,ROUNDDOWN(H22,-3),ROUNDDOWN(H22,-2)))</f>
        <v>#N/A</v>
      </c>
      <c r="I23" s="744" t="e">
        <f t="shared" ref="I23" si="6">IF(I22&gt;100000,ROUNDDOWN(I22,-4),IF(I22&gt;10000,ROUNDDOWN(I22,-3),ROUNDDOWN(I22,-2)))</f>
        <v>#N/A</v>
      </c>
      <c r="J23" s="744" t="e">
        <f t="shared" ref="J23" si="7">IF(J22&gt;100000,ROUNDDOWN(J22,-4),IF(J22&gt;10000,ROUNDDOWN(J22,-3),ROUNDDOWN(J22,-2)))</f>
        <v>#N/A</v>
      </c>
      <c r="K23" s="744" t="e">
        <f t="shared" ref="K23" si="8">IF(K22&gt;100000,ROUNDDOWN(K22,-4),IF(K22&gt;10000,ROUNDDOWN(K22,-3),ROUNDDOWN(K22,-2)))</f>
        <v>#N/A</v>
      </c>
      <c r="L23" s="744" t="e">
        <f t="shared" ref="L23" si="9">IF(L22&gt;100000,ROUNDDOWN(L22,-4),IF(L22&gt;10000,ROUNDDOWN(L22,-3),ROUNDDOWN(L22,-2)))</f>
        <v>#N/A</v>
      </c>
      <c r="M23" s="744" t="e">
        <f t="shared" ref="M23" si="10">IF(M22&gt;100000,ROUNDDOWN(M22,-4),IF(M22&gt;10000,ROUNDDOWN(M22,-3),ROUNDDOWN(M22,-2)))</f>
        <v>#N/A</v>
      </c>
      <c r="N23" s="744" t="e">
        <f t="shared" ref="N23" si="11">IF(N22&gt;100000,ROUNDDOWN(N22,-4),IF(N22&gt;10000,ROUNDDOWN(N22,-3),ROUNDDOWN(N22,-2)))</f>
        <v>#N/A</v>
      </c>
      <c r="O23" s="744" t="e">
        <f t="shared" ref="O23" si="12">IF(O22&gt;100000,ROUNDDOWN(O22,-4),IF(O22&gt;10000,ROUNDDOWN(O22,-3),ROUNDDOWN(O22,-2)))</f>
        <v>#N/A</v>
      </c>
      <c r="P23" s="744" t="e">
        <f t="shared" ref="P23" si="13">IF(P22&gt;100000,ROUNDDOWN(P22,-4),IF(P22&gt;10000,ROUNDDOWN(P22,-3),ROUNDDOWN(P22,-2)))</f>
        <v>#N/A</v>
      </c>
      <c r="Q23" s="744" t="e">
        <f t="shared" ref="Q23" si="14">IF(Q22&gt;100000,ROUNDDOWN(Q22,-4),IF(Q22&gt;10000,ROUNDDOWN(Q22,-3),ROUNDDOWN(Q22,-2)))</f>
        <v>#N/A</v>
      </c>
      <c r="R23" s="744" t="e">
        <f t="shared" ref="R23" si="15">IF(R22&gt;100000,ROUNDDOWN(R22,-4),IF(R22&gt;10000,ROUNDDOWN(R22,-3),ROUNDDOWN(R22,-2)))</f>
        <v>#N/A</v>
      </c>
      <c r="S23" s="744" t="e">
        <f t="shared" ref="S23" si="16">IF(S22&gt;100000,ROUNDDOWN(S22,-4),IF(S22&gt;10000,ROUNDDOWN(S22,-3),ROUNDDOWN(S22,-2)))</f>
        <v>#N/A</v>
      </c>
      <c r="T23" s="744" t="e">
        <f t="shared" ref="T23" si="17">IF(T22&gt;100000,ROUNDDOWN(T22,-4),IF(T22&gt;10000,ROUNDDOWN(T22,-3),ROUNDDOWN(T22,-2)))</f>
        <v>#N/A</v>
      </c>
      <c r="U23" s="826" t="e">
        <f t="shared" ref="U23" si="18">IF(U22&gt;100000,ROUNDDOWN(U22,-4),IF(U22&gt;10000,ROUNDDOWN(U22,-3),ROUNDDOWN(U22,-2)))</f>
        <v>#N/A</v>
      </c>
      <c r="W23" s="716"/>
      <c r="X23" s="27" t="s">
        <v>511</v>
      </c>
      <c r="Y23" s="44" t="s">
        <v>1033</v>
      </c>
      <c r="AA23" s="435"/>
      <c r="AB23" s="250"/>
    </row>
    <row r="24" spans="2:28" x14ac:dyDescent="0.3">
      <c r="B24" s="963"/>
      <c r="C24" s="762" t="str">
        <f>IF(Language="English", $AA24, $AB24)</f>
        <v>Modern contraceptive prevalence rate (mCPR)</v>
      </c>
      <c r="D24" s="763"/>
      <c r="E24" s="763"/>
      <c r="F24" s="763"/>
      <c r="G24" s="763"/>
      <c r="H24" s="763"/>
      <c r="I24" s="763"/>
      <c r="J24" s="763"/>
      <c r="K24" s="763"/>
      <c r="L24" s="763"/>
      <c r="M24" s="763"/>
      <c r="N24" s="763"/>
      <c r="O24" s="763"/>
      <c r="P24" s="764"/>
      <c r="Q24" s="764"/>
      <c r="R24" s="764"/>
      <c r="S24" s="764"/>
      <c r="T24" s="764"/>
      <c r="U24" s="765"/>
      <c r="X24" s="27"/>
      <c r="Y24" s="27"/>
      <c r="AA24" s="435" t="s">
        <v>1048</v>
      </c>
      <c r="AB24" s="436" t="s">
        <v>1045</v>
      </c>
    </row>
    <row r="25" spans="2:28" s="44" customFormat="1" ht="15.6" x14ac:dyDescent="0.3">
      <c r="B25" s="963"/>
      <c r="C25" s="745">
        <f>VLOOKUP($X25&amp;$Y25&amp;"50", 'Indicator Calculations'!$A$8:$Z$52, MATCH(C$9,'Indicator Calculations'!$A$7:$Z$7, 0), FALSE)</f>
        <v>0</v>
      </c>
      <c r="D25" s="668">
        <f>VLOOKUP($X25&amp;$Y25&amp;"50", 'Indicator Calculations'!$A$8:$Z$52, MATCH(D$9,'Indicator Calculations'!$A$7:$Z$7, 0), FALSE)</f>
        <v>0</v>
      </c>
      <c r="E25" s="668">
        <f>VLOOKUP($X25&amp;$Y25&amp;"50", 'Indicator Calculations'!$A$8:$Z$52, MATCH(E$9,'Indicator Calculations'!$A$7:$Z$7, 0), FALSE)</f>
        <v>0</v>
      </c>
      <c r="F25" s="668">
        <f>VLOOKUP($X25&amp;$Y25&amp;"50", 'Indicator Calculations'!$A$8:$Z$52, MATCH(F$9,'Indicator Calculations'!$A$7:$Z$7, 0), FALSE)</f>
        <v>0</v>
      </c>
      <c r="G25" s="668">
        <f>VLOOKUP($X25&amp;$Y25&amp;"50", 'Indicator Calculations'!$A$8:$Z$52, MATCH(G$9,'Indicator Calculations'!$A$7:$Z$7, 0), FALSE)</f>
        <v>0</v>
      </c>
      <c r="H25" s="668">
        <f>VLOOKUP($X25&amp;$Y25&amp;"50", 'Indicator Calculations'!$A$8:$Z$52, MATCH(H$9,'Indicator Calculations'!$A$7:$Z$7, 0), FALSE)</f>
        <v>0</v>
      </c>
      <c r="I25" s="668">
        <f>VLOOKUP($X25&amp;$Y25&amp;"50", 'Indicator Calculations'!$A$8:$Z$52, MATCH(I$9,'Indicator Calculations'!$A$7:$Z$7, 0), FALSE)</f>
        <v>0</v>
      </c>
      <c r="J25" s="668">
        <f>VLOOKUP($X25&amp;$Y25&amp;"50", 'Indicator Calculations'!$A$8:$Z$52, MATCH(J$9,'Indicator Calculations'!$A$7:$Z$7, 0), FALSE)</f>
        <v>0</v>
      </c>
      <c r="K25" s="668">
        <f>VLOOKUP($X25&amp;$Y25&amp;"50", 'Indicator Calculations'!$A$8:$Z$52, MATCH(K$9,'Indicator Calculations'!$A$7:$Z$7, 0), FALSE)</f>
        <v>0</v>
      </c>
      <c r="L25" s="668">
        <f>VLOOKUP($X25&amp;$Y25&amp;"50", 'Indicator Calculations'!$A$8:$Z$52, MATCH(L$9,'Indicator Calculations'!$A$7:$Z$7, 0), FALSE)</f>
        <v>0</v>
      </c>
      <c r="M25" s="668">
        <f>VLOOKUP($X25&amp;$Y25&amp;"50", 'Indicator Calculations'!$A$8:$Z$52, MATCH(M$9,'Indicator Calculations'!$A$7:$Z$7, 0), FALSE)</f>
        <v>0</v>
      </c>
      <c r="N25" s="668">
        <f>VLOOKUP($X25&amp;$Y25&amp;"50", 'Indicator Calculations'!$A$8:$Z$52, MATCH(N$9,'Indicator Calculations'!$A$7:$Z$7, 0), FALSE)</f>
        <v>0</v>
      </c>
      <c r="O25" s="668">
        <f>VLOOKUP($X25&amp;$Y25&amp;"50", 'Indicator Calculations'!$A$8:$Z$52, MATCH(O$9,'Indicator Calculations'!$A$7:$Z$7, 0), FALSE)</f>
        <v>0</v>
      </c>
      <c r="P25" s="668">
        <f>VLOOKUP($X25&amp;$Y25&amp;"50", 'Indicator Calculations'!$A$8:$Z$52, MATCH(P$9,'Indicator Calculations'!$A$7:$Z$7, 0), FALSE)</f>
        <v>0</v>
      </c>
      <c r="Q25" s="668">
        <f>VLOOKUP($X25&amp;$Y25&amp;"50", 'Indicator Calculations'!$A$8:$Z$52, MATCH(Q$9,'Indicator Calculations'!$A$7:$Z$7, 0), FALSE)</f>
        <v>0</v>
      </c>
      <c r="R25" s="668">
        <f>VLOOKUP($X25&amp;$Y25&amp;"50", 'Indicator Calculations'!$A$8:$Z$52, MATCH(R$9,'Indicator Calculations'!$A$7:$Z$7, 0), FALSE)</f>
        <v>0</v>
      </c>
      <c r="S25" s="668">
        <f>VLOOKUP($X25&amp;$Y25&amp;"50", 'Indicator Calculations'!$A$8:$Z$52, MATCH(S$9,'Indicator Calculations'!$A$7:$Z$7, 0), FALSE)</f>
        <v>0</v>
      </c>
      <c r="T25" s="668">
        <f>VLOOKUP($X25&amp;$Y25&amp;"50", 'Indicator Calculations'!$A$8:$Z$52, MATCH(T$9,'Indicator Calculations'!$A$7:$Z$7, 0), FALSE)</f>
        <v>0</v>
      </c>
      <c r="U25" s="669">
        <f>VLOOKUP($X25&amp;$Y25&amp;"50", 'Indicator Calculations'!$A$8:$Z$52, MATCH(U$9,'Indicator Calculations'!$A$7:$Z$7, 0), FALSE)</f>
        <v>0</v>
      </c>
      <c r="W25"/>
      <c r="X25" s="27" t="s">
        <v>511</v>
      </c>
      <c r="Y25" s="684" t="s">
        <v>1014</v>
      </c>
      <c r="AA25" s="435"/>
      <c r="AB25" s="250"/>
    </row>
    <row r="26" spans="2:28" x14ac:dyDescent="0.3">
      <c r="B26" s="963"/>
      <c r="C26" s="960" t="str">
        <f>IF(Language="English", $AA26, $AB26)</f>
        <v xml:space="preserve">Percentage of women estimated to have an unmet need  for modern methods of contraception (mUMN) </v>
      </c>
      <c r="D26" s="960"/>
      <c r="E26" s="960"/>
      <c r="F26" s="960"/>
      <c r="G26" s="960"/>
      <c r="H26" s="960"/>
      <c r="I26" s="960"/>
      <c r="J26" s="960"/>
      <c r="K26" s="960"/>
      <c r="L26" s="960"/>
      <c r="M26" s="960"/>
      <c r="N26" s="960"/>
      <c r="O26" s="960"/>
      <c r="P26" s="960"/>
      <c r="Q26" s="960"/>
      <c r="R26" s="960"/>
      <c r="S26" s="960"/>
      <c r="T26" s="960"/>
      <c r="U26" s="961"/>
      <c r="X26" s="27"/>
      <c r="Y26" s="44"/>
      <c r="AA26" s="9" t="s">
        <v>1046</v>
      </c>
      <c r="AB26" s="20" t="s">
        <v>1049</v>
      </c>
    </row>
    <row r="27" spans="2:28" s="44" customFormat="1" ht="15.6" x14ac:dyDescent="0.3">
      <c r="B27" s="963"/>
      <c r="C27" s="745">
        <f>VLOOKUP($X27&amp;$Y27&amp;"50", 'Indicator Calculations'!$A$8:$Z$52, MATCH(C$9,'Indicator Calculations'!$A$7:$Z$7, 0), FALSE)</f>
        <v>0</v>
      </c>
      <c r="D27" s="668">
        <f>VLOOKUP($X27&amp;$Y27&amp;"50", 'Indicator Calculations'!$A$8:$Z$52, MATCH(D$9,'Indicator Calculations'!$A$7:$Z$7, 0), FALSE)</f>
        <v>0</v>
      </c>
      <c r="E27" s="668">
        <f>VLOOKUP($X27&amp;$Y27&amp;"50", 'Indicator Calculations'!$A$8:$Z$52, MATCH(E$9,'Indicator Calculations'!$A$7:$Z$7, 0), FALSE)</f>
        <v>0</v>
      </c>
      <c r="F27" s="668">
        <f>VLOOKUP($X27&amp;$Y27&amp;"50", 'Indicator Calculations'!$A$8:$Z$52, MATCH(F$9,'Indicator Calculations'!$A$7:$Z$7, 0), FALSE)</f>
        <v>0</v>
      </c>
      <c r="G27" s="668">
        <f>VLOOKUP($X27&amp;$Y27&amp;"50", 'Indicator Calculations'!$A$8:$Z$52, MATCH(G$9,'Indicator Calculations'!$A$7:$Z$7, 0), FALSE)</f>
        <v>0</v>
      </c>
      <c r="H27" s="668">
        <f>VLOOKUP($X27&amp;$Y27&amp;"50", 'Indicator Calculations'!$A$8:$Z$52, MATCH(H$9,'Indicator Calculations'!$A$7:$Z$7, 0), FALSE)</f>
        <v>0</v>
      </c>
      <c r="I27" s="668">
        <f>VLOOKUP($X27&amp;$Y27&amp;"50", 'Indicator Calculations'!$A$8:$Z$52, MATCH(I$9,'Indicator Calculations'!$A$7:$Z$7, 0), FALSE)</f>
        <v>0</v>
      </c>
      <c r="J27" s="668">
        <f>VLOOKUP($X27&amp;$Y27&amp;"50", 'Indicator Calculations'!$A$8:$Z$52, MATCH(J$9,'Indicator Calculations'!$A$7:$Z$7, 0), FALSE)</f>
        <v>0</v>
      </c>
      <c r="K27" s="668">
        <f>VLOOKUP($X27&amp;$Y27&amp;"50", 'Indicator Calculations'!$A$8:$Z$52, MATCH(K$9,'Indicator Calculations'!$A$7:$Z$7, 0), FALSE)</f>
        <v>0</v>
      </c>
      <c r="L27" s="668">
        <f>VLOOKUP($X27&amp;$Y27&amp;"50", 'Indicator Calculations'!$A$8:$Z$52, MATCH(L$9,'Indicator Calculations'!$A$7:$Z$7, 0), FALSE)</f>
        <v>0</v>
      </c>
      <c r="M27" s="668">
        <f>VLOOKUP($X27&amp;$Y27&amp;"50", 'Indicator Calculations'!$A$8:$Z$52, MATCH(M$9,'Indicator Calculations'!$A$7:$Z$7, 0), FALSE)</f>
        <v>0</v>
      </c>
      <c r="N27" s="668">
        <f>VLOOKUP($X27&amp;$Y27&amp;"50", 'Indicator Calculations'!$A$8:$Z$52, MATCH(N$9,'Indicator Calculations'!$A$7:$Z$7, 0), FALSE)</f>
        <v>0</v>
      </c>
      <c r="O27" s="668">
        <f>VLOOKUP($X27&amp;$Y27&amp;"50", 'Indicator Calculations'!$A$8:$Z$52, MATCH(O$9,'Indicator Calculations'!$A$7:$Z$7, 0), FALSE)</f>
        <v>0</v>
      </c>
      <c r="P27" s="668">
        <f>VLOOKUP($X27&amp;$Y27&amp;"50", 'Indicator Calculations'!$A$8:$Z$52, MATCH(P$9,'Indicator Calculations'!$A$7:$Z$7, 0), FALSE)</f>
        <v>0</v>
      </c>
      <c r="Q27" s="668">
        <f>VLOOKUP($X27&amp;$Y27&amp;"50", 'Indicator Calculations'!$A$8:$Z$52, MATCH(Q$9,'Indicator Calculations'!$A$7:$Z$7, 0), FALSE)</f>
        <v>0</v>
      </c>
      <c r="R27" s="668">
        <f>VLOOKUP($X27&amp;$Y27&amp;"50", 'Indicator Calculations'!$A$8:$Z$52, MATCH(R$9,'Indicator Calculations'!$A$7:$Z$7, 0), FALSE)</f>
        <v>0</v>
      </c>
      <c r="S27" s="668">
        <f>VLOOKUP($X27&amp;$Y27&amp;"50", 'Indicator Calculations'!$A$8:$Z$52, MATCH(S$9,'Indicator Calculations'!$A$7:$Z$7, 0), FALSE)</f>
        <v>0</v>
      </c>
      <c r="T27" s="668">
        <f>VLOOKUP($X27&amp;$Y27&amp;"50", 'Indicator Calculations'!$A$8:$Z$52, MATCH(T$9,'Indicator Calculations'!$A$7:$Z$7, 0), FALSE)</f>
        <v>0</v>
      </c>
      <c r="U27" s="669">
        <f>VLOOKUP($X27&amp;$Y27&amp;"50", 'Indicator Calculations'!$A$8:$Z$52, MATCH(U$9,'Indicator Calculations'!$A$7:$Z$7, 0), FALSE)</f>
        <v>0</v>
      </c>
      <c r="W27"/>
      <c r="X27" s="27" t="s">
        <v>511</v>
      </c>
      <c r="Y27" s="684" t="s">
        <v>1017</v>
      </c>
      <c r="AA27" s="435"/>
      <c r="AB27" s="250"/>
    </row>
    <row r="28" spans="2:28" x14ac:dyDescent="0.3">
      <c r="B28" s="963"/>
      <c r="C28" s="960" t="str">
        <f>IF(Language="English", $AA28, $AB28)</f>
        <v>Percentage of women estimated to have their demand for family planning is satisfied met with a modern method of contraception (mDS)</v>
      </c>
      <c r="D28" s="960"/>
      <c r="E28" s="960"/>
      <c r="F28" s="960"/>
      <c r="G28" s="960"/>
      <c r="H28" s="960"/>
      <c r="I28" s="960"/>
      <c r="J28" s="960"/>
      <c r="K28" s="960"/>
      <c r="L28" s="960"/>
      <c r="M28" s="960"/>
      <c r="N28" s="960"/>
      <c r="O28" s="960"/>
      <c r="P28" s="960"/>
      <c r="Q28" s="960"/>
      <c r="R28" s="960"/>
      <c r="S28" s="960"/>
      <c r="T28" s="960"/>
      <c r="U28" s="961"/>
      <c r="X28" s="27"/>
      <c r="Y28" s="44"/>
      <c r="AA28" s="9" t="s">
        <v>1047</v>
      </c>
      <c r="AB28" s="250" t="s">
        <v>1050</v>
      </c>
    </row>
    <row r="29" spans="2:28" s="44" customFormat="1" ht="15.6" x14ac:dyDescent="0.3">
      <c r="B29" s="964"/>
      <c r="C29" s="746">
        <f>VLOOKUP($X29&amp;$Y29&amp;"50", 'Indicator Calculations'!$A$8:$Z$52, MATCH(C$9,'Indicator Calculations'!$A$7:$Z$7, 0), FALSE)</f>
        <v>0</v>
      </c>
      <c r="D29" s="670">
        <f>VLOOKUP($X29&amp;$Y29&amp;"50", 'Indicator Calculations'!$A$8:$Z$52, MATCH(D$9,'Indicator Calculations'!$A$7:$Z$7, 0), FALSE)</f>
        <v>0</v>
      </c>
      <c r="E29" s="670">
        <f>VLOOKUP($X29&amp;$Y29&amp;"50", 'Indicator Calculations'!$A$8:$Z$52, MATCH(E$9,'Indicator Calculations'!$A$7:$Z$7, 0), FALSE)</f>
        <v>0</v>
      </c>
      <c r="F29" s="670">
        <f>VLOOKUP($X29&amp;$Y29&amp;"50", 'Indicator Calculations'!$A$8:$Z$52, MATCH(F$9,'Indicator Calculations'!$A$7:$Z$7, 0), FALSE)</f>
        <v>0</v>
      </c>
      <c r="G29" s="670">
        <f>VLOOKUP($X29&amp;$Y29&amp;"50", 'Indicator Calculations'!$A$8:$Z$52, MATCH(G$9,'Indicator Calculations'!$A$7:$Z$7, 0), FALSE)</f>
        <v>0</v>
      </c>
      <c r="H29" s="670">
        <f>VLOOKUP($X29&amp;$Y29&amp;"50", 'Indicator Calculations'!$A$8:$Z$52, MATCH(H$9,'Indicator Calculations'!$A$7:$Z$7, 0), FALSE)</f>
        <v>0</v>
      </c>
      <c r="I29" s="670">
        <f>VLOOKUP($X29&amp;$Y29&amp;"50", 'Indicator Calculations'!$A$8:$Z$52, MATCH(I$9,'Indicator Calculations'!$A$7:$Z$7, 0), FALSE)</f>
        <v>0</v>
      </c>
      <c r="J29" s="670">
        <f>VLOOKUP($X29&amp;$Y29&amp;"50", 'Indicator Calculations'!$A$8:$Z$52, MATCH(J$9,'Indicator Calculations'!$A$7:$Z$7, 0), FALSE)</f>
        <v>0</v>
      </c>
      <c r="K29" s="670">
        <f>VLOOKUP($X29&amp;$Y29&amp;"50", 'Indicator Calculations'!$A$8:$Z$52, MATCH(K$9,'Indicator Calculations'!$A$7:$Z$7, 0), FALSE)</f>
        <v>0</v>
      </c>
      <c r="L29" s="670">
        <f>VLOOKUP($X29&amp;$Y29&amp;"50", 'Indicator Calculations'!$A$8:$Z$52, MATCH(L$9,'Indicator Calculations'!$A$7:$Z$7, 0), FALSE)</f>
        <v>0</v>
      </c>
      <c r="M29" s="670">
        <f>VLOOKUP($X29&amp;$Y29&amp;"50", 'Indicator Calculations'!$A$8:$Z$52, MATCH(M$9,'Indicator Calculations'!$A$7:$Z$7, 0), FALSE)</f>
        <v>0</v>
      </c>
      <c r="N29" s="670">
        <f>VLOOKUP($X29&amp;$Y29&amp;"50", 'Indicator Calculations'!$A$8:$Z$52, MATCH(N$9,'Indicator Calculations'!$A$7:$Z$7, 0), FALSE)</f>
        <v>0</v>
      </c>
      <c r="O29" s="670">
        <f>VLOOKUP($X29&amp;$Y29&amp;"50", 'Indicator Calculations'!$A$8:$Z$52, MATCH(O$9,'Indicator Calculations'!$A$7:$Z$7, 0), FALSE)</f>
        <v>0</v>
      </c>
      <c r="P29" s="670">
        <f>VLOOKUP($X29&amp;$Y29&amp;"50", 'Indicator Calculations'!$A$8:$Z$52, MATCH(P$9,'Indicator Calculations'!$A$7:$Z$7, 0), FALSE)</f>
        <v>0</v>
      </c>
      <c r="Q29" s="670">
        <f>VLOOKUP($X29&amp;$Y29&amp;"50", 'Indicator Calculations'!$A$8:$Z$52, MATCH(Q$9,'Indicator Calculations'!$A$7:$Z$7, 0), FALSE)</f>
        <v>0</v>
      </c>
      <c r="R29" s="670">
        <f>VLOOKUP($X29&amp;$Y29&amp;"50", 'Indicator Calculations'!$A$8:$Z$52, MATCH(R$9,'Indicator Calculations'!$A$7:$Z$7, 0), FALSE)</f>
        <v>0</v>
      </c>
      <c r="S29" s="670">
        <f>VLOOKUP($X29&amp;$Y29&amp;"50", 'Indicator Calculations'!$A$8:$Z$52, MATCH(S$9,'Indicator Calculations'!$A$7:$Z$7, 0), FALSE)</f>
        <v>0</v>
      </c>
      <c r="T29" s="670">
        <f>VLOOKUP($X29&amp;$Y29&amp;"50", 'Indicator Calculations'!$A$8:$Z$52, MATCH(T$9,'Indicator Calculations'!$A$7:$Z$7, 0), FALSE)</f>
        <v>0</v>
      </c>
      <c r="U29" s="671">
        <f>VLOOKUP($X29&amp;$Y29&amp;"50", 'Indicator Calculations'!$A$8:$Z$52, MATCH(U$9,'Indicator Calculations'!$A$7:$Z$7, 0), FALSE)</f>
        <v>0</v>
      </c>
      <c r="W29"/>
      <c r="X29" s="27" t="s">
        <v>511</v>
      </c>
      <c r="Y29" s="684" t="s">
        <v>1016</v>
      </c>
      <c r="AA29" s="9"/>
      <c r="AB29" s="250"/>
    </row>
    <row r="30" spans="2:28" s="44" customFormat="1" ht="11.4" customHeight="1" x14ac:dyDescent="0.3">
      <c r="C30" s="665"/>
      <c r="D30" s="665"/>
      <c r="E30" s="665"/>
      <c r="F30" s="665"/>
      <c r="G30" s="665"/>
      <c r="H30" s="665"/>
      <c r="I30" s="665"/>
      <c r="J30" s="665"/>
      <c r="K30" s="665"/>
      <c r="L30" s="665"/>
      <c r="M30" s="665"/>
      <c r="N30" s="665"/>
      <c r="O30" s="665"/>
      <c r="P30" s="665"/>
      <c r="Q30" s="665"/>
      <c r="R30" s="665"/>
      <c r="S30" s="665"/>
      <c r="T30" s="665"/>
      <c r="U30" s="665"/>
      <c r="W30"/>
      <c r="X30"/>
      <c r="Y30"/>
      <c r="AA30" s="435"/>
      <c r="AB30" s="250"/>
    </row>
    <row r="31" spans="2:28" ht="15" customHeight="1" x14ac:dyDescent="0.3">
      <c r="B31" s="962" t="str">
        <f>IF(Language="English", X6, Y6)</f>
        <v>Unmarried Women</v>
      </c>
      <c r="C31" s="759">
        <v>2012</v>
      </c>
      <c r="D31" s="760">
        <v>2013</v>
      </c>
      <c r="E31" s="760">
        <v>2014</v>
      </c>
      <c r="F31" s="760">
        <v>2015</v>
      </c>
      <c r="G31" s="760">
        <v>2016</v>
      </c>
      <c r="H31" s="760">
        <v>2017</v>
      </c>
      <c r="I31" s="760">
        <v>2018</v>
      </c>
      <c r="J31" s="760">
        <v>2019</v>
      </c>
      <c r="K31" s="760">
        <v>2020</v>
      </c>
      <c r="L31" s="760">
        <v>2021</v>
      </c>
      <c r="M31" s="760">
        <v>2022</v>
      </c>
      <c r="N31" s="760">
        <v>2023</v>
      </c>
      <c r="O31" s="760">
        <v>2024</v>
      </c>
      <c r="P31" s="760">
        <v>2025</v>
      </c>
      <c r="Q31" s="760">
        <v>2026</v>
      </c>
      <c r="R31" s="760">
        <v>2027</v>
      </c>
      <c r="S31" s="760">
        <v>2028</v>
      </c>
      <c r="T31" s="760">
        <v>2029</v>
      </c>
      <c r="U31" s="761">
        <v>2030</v>
      </c>
      <c r="AA31" s="42"/>
      <c r="AB31" s="253"/>
    </row>
    <row r="32" spans="2:28" s="44" customFormat="1" ht="15" customHeight="1" x14ac:dyDescent="0.3">
      <c r="B32" s="963"/>
      <c r="C32" s="960" t="str">
        <f>IF(Language="English", $AA32, $AB32)</f>
        <v>Total users of modern methods of contraception</v>
      </c>
      <c r="D32" s="960"/>
      <c r="E32" s="960"/>
      <c r="F32" s="960"/>
      <c r="G32" s="960"/>
      <c r="H32" s="960"/>
      <c r="I32" s="960"/>
      <c r="J32" s="960"/>
      <c r="K32" s="960"/>
      <c r="L32" s="960"/>
      <c r="M32" s="960"/>
      <c r="N32" s="960"/>
      <c r="O32" s="960"/>
      <c r="P32" s="960"/>
      <c r="Q32" s="960"/>
      <c r="R32" s="960"/>
      <c r="S32" s="960"/>
      <c r="T32" s="960"/>
      <c r="U32" s="961"/>
      <c r="W32"/>
      <c r="X32"/>
      <c r="Y32"/>
      <c r="AA32" s="435" t="s">
        <v>1043</v>
      </c>
      <c r="AB32" s="436" t="s">
        <v>1044</v>
      </c>
    </row>
    <row r="33" spans="2:28" ht="15" hidden="1" customHeight="1" x14ac:dyDescent="0.3">
      <c r="B33" s="963"/>
      <c r="C33" s="744" t="e">
        <f>VLOOKUP($X33&amp;$Y33&amp;"50", 'Indicator Calculations'!$A$8:$Z$52, MATCH(C$9,'Indicator Calculations'!$A$7:$Z$7, 0), FALSE)</f>
        <v>#N/A</v>
      </c>
      <c r="D33" s="686" t="e">
        <f>VLOOKUP($X33&amp;$Y33&amp;"50", 'Indicator Calculations'!$A$8:$Z$52, MATCH(D$9,'Indicator Calculations'!$A$7:$Z$7, 0), FALSE)</f>
        <v>#N/A</v>
      </c>
      <c r="E33" s="686" t="e">
        <f>VLOOKUP($X33&amp;$Y33&amp;"50", 'Indicator Calculations'!$A$8:$Z$52, MATCH(E$9,'Indicator Calculations'!$A$7:$Z$7, 0), FALSE)</f>
        <v>#N/A</v>
      </c>
      <c r="F33" s="686" t="e">
        <f>VLOOKUP($X33&amp;$Y33&amp;"50", 'Indicator Calculations'!$A$8:$Z$52, MATCH(F$9,'Indicator Calculations'!$A$7:$Z$7, 0), FALSE)</f>
        <v>#N/A</v>
      </c>
      <c r="G33" s="686" t="e">
        <f>VLOOKUP($X33&amp;$Y33&amp;"50", 'Indicator Calculations'!$A$8:$Z$52, MATCH(G$9,'Indicator Calculations'!$A$7:$Z$7, 0), FALSE)</f>
        <v>#N/A</v>
      </c>
      <c r="H33" s="686" t="e">
        <f>VLOOKUP($X33&amp;$Y33&amp;"50", 'Indicator Calculations'!$A$8:$Z$52, MATCH(H$9,'Indicator Calculations'!$A$7:$Z$7, 0), FALSE)</f>
        <v>#N/A</v>
      </c>
      <c r="I33" s="686" t="e">
        <f>VLOOKUP($X33&amp;$Y33&amp;"50", 'Indicator Calculations'!$A$8:$Z$52, MATCH(I$9,'Indicator Calculations'!$A$7:$Z$7, 0), FALSE)</f>
        <v>#N/A</v>
      </c>
      <c r="J33" s="686" t="e">
        <f>VLOOKUP($X33&amp;$Y33&amp;"50", 'Indicator Calculations'!$A$8:$Z$52, MATCH(J$9,'Indicator Calculations'!$A$7:$Z$7, 0), FALSE)</f>
        <v>#N/A</v>
      </c>
      <c r="K33" s="686" t="e">
        <f>VLOOKUP($X33&amp;$Y33&amp;"50", 'Indicator Calculations'!$A$8:$Z$52, MATCH(K$9,'Indicator Calculations'!$A$7:$Z$7, 0), FALSE)</f>
        <v>#N/A</v>
      </c>
      <c r="L33" s="686" t="e">
        <f>VLOOKUP($X33&amp;$Y33&amp;"50", 'Indicator Calculations'!$A$8:$Z$52, MATCH(L$9,'Indicator Calculations'!$A$7:$Z$7, 0), FALSE)</f>
        <v>#N/A</v>
      </c>
      <c r="M33" s="686" t="e">
        <f>VLOOKUP($X33&amp;$Y33&amp;"50", 'Indicator Calculations'!$A$8:$Z$52, MATCH(M$9,'Indicator Calculations'!$A$7:$Z$7, 0), FALSE)</f>
        <v>#N/A</v>
      </c>
      <c r="N33" s="686" t="e">
        <f>VLOOKUP($X33&amp;$Y33&amp;"50", 'Indicator Calculations'!$A$8:$Z$52, MATCH(N$9,'Indicator Calculations'!$A$7:$Z$7, 0), FALSE)</f>
        <v>#N/A</v>
      </c>
      <c r="O33" s="686" t="e">
        <f>VLOOKUP($X33&amp;$Y33&amp;"50", 'Indicator Calculations'!$A$8:$Z$52, MATCH(O$9,'Indicator Calculations'!$A$7:$Z$7, 0), FALSE)</f>
        <v>#N/A</v>
      </c>
      <c r="P33" s="686" t="e">
        <f>VLOOKUP($X33&amp;$Y33&amp;"50", 'Indicator Calculations'!$A$8:$Z$52, MATCH(P$9,'Indicator Calculations'!$A$7:$Z$7, 0), FALSE)</f>
        <v>#N/A</v>
      </c>
      <c r="Q33" s="686" t="e">
        <f>VLOOKUP($X33&amp;$Y33&amp;"50", 'Indicator Calculations'!$A$8:$Z$52, MATCH(Q$9,'Indicator Calculations'!$A$7:$Z$7, 0), FALSE)</f>
        <v>#N/A</v>
      </c>
      <c r="R33" s="686" t="e">
        <f>VLOOKUP($X33&amp;$Y33&amp;"50", 'Indicator Calculations'!$A$8:$Z$52, MATCH(R$9,'Indicator Calculations'!$A$7:$Z$7, 0), FALSE)</f>
        <v>#N/A</v>
      </c>
      <c r="S33" s="686" t="e">
        <f>VLOOKUP($X33&amp;$Y33&amp;"50", 'Indicator Calculations'!$A$8:$Z$52, MATCH(S$9,'Indicator Calculations'!$A$7:$Z$7, 0), FALSE)</f>
        <v>#N/A</v>
      </c>
      <c r="T33" s="686" t="e">
        <f>VLOOKUP($X33&amp;$Y33&amp;"50", 'Indicator Calculations'!$A$8:$Z$52, MATCH(T$9,'Indicator Calculations'!$A$7:$Z$7, 0), FALSE)</f>
        <v>#N/A</v>
      </c>
      <c r="U33" s="687" t="e">
        <f>VLOOKUP($X33&amp;$Y33&amp;"50", 'Indicator Calculations'!$A$8:$Z$52, MATCH(U$9,'Indicator Calculations'!$A$7:$Z$7, 0), FALSE)</f>
        <v>#N/A</v>
      </c>
      <c r="X33" t="s">
        <v>1018</v>
      </c>
      <c r="Y33" s="44" t="s">
        <v>1033</v>
      </c>
      <c r="AA33" s="435"/>
      <c r="AB33" s="250"/>
    </row>
    <row r="34" spans="2:28" s="716" customFormat="1" ht="15" customHeight="1" x14ac:dyDescent="0.3">
      <c r="B34" s="963"/>
      <c r="C34" s="744" t="e">
        <f>IF(C33&gt;100000,ROUNDDOWN(C33,-4),IF(C33&gt;10000,ROUNDDOWN(C33,-3),ROUNDDOWN(C33,-2)))</f>
        <v>#N/A</v>
      </c>
      <c r="D34" s="744" t="e">
        <f t="shared" ref="D34" si="19">IF(D33&gt;100000,ROUNDDOWN(D33,-4),IF(D33&gt;10000,ROUNDDOWN(D33,-3),ROUNDDOWN(D33,-2)))</f>
        <v>#N/A</v>
      </c>
      <c r="E34" s="744" t="e">
        <f t="shared" ref="E34" si="20">IF(E33&gt;100000,ROUNDDOWN(E33,-4),IF(E33&gt;10000,ROUNDDOWN(E33,-3),ROUNDDOWN(E33,-2)))</f>
        <v>#N/A</v>
      </c>
      <c r="F34" s="744" t="e">
        <f t="shared" ref="F34" si="21">IF(F33&gt;100000,ROUNDDOWN(F33,-4),IF(F33&gt;10000,ROUNDDOWN(F33,-3),ROUNDDOWN(F33,-2)))</f>
        <v>#N/A</v>
      </c>
      <c r="G34" s="744" t="e">
        <f t="shared" ref="G34" si="22">IF(G33&gt;100000,ROUNDDOWN(G33,-4),IF(G33&gt;10000,ROUNDDOWN(G33,-3),ROUNDDOWN(G33,-2)))</f>
        <v>#N/A</v>
      </c>
      <c r="H34" s="744" t="e">
        <f t="shared" ref="H34" si="23">IF(H33&gt;100000,ROUNDDOWN(H33,-4),IF(H33&gt;10000,ROUNDDOWN(H33,-3),ROUNDDOWN(H33,-2)))</f>
        <v>#N/A</v>
      </c>
      <c r="I34" s="744" t="e">
        <f t="shared" ref="I34" si="24">IF(I33&gt;100000,ROUNDDOWN(I33,-4),IF(I33&gt;10000,ROUNDDOWN(I33,-3),ROUNDDOWN(I33,-2)))</f>
        <v>#N/A</v>
      </c>
      <c r="J34" s="744" t="e">
        <f t="shared" ref="J34" si="25">IF(J33&gt;100000,ROUNDDOWN(J33,-4),IF(J33&gt;10000,ROUNDDOWN(J33,-3),ROUNDDOWN(J33,-2)))</f>
        <v>#N/A</v>
      </c>
      <c r="K34" s="744" t="e">
        <f t="shared" ref="K34" si="26">IF(K33&gt;100000,ROUNDDOWN(K33,-4),IF(K33&gt;10000,ROUNDDOWN(K33,-3),ROUNDDOWN(K33,-2)))</f>
        <v>#N/A</v>
      </c>
      <c r="L34" s="744" t="e">
        <f t="shared" ref="L34" si="27">IF(L33&gt;100000,ROUNDDOWN(L33,-4),IF(L33&gt;10000,ROUNDDOWN(L33,-3),ROUNDDOWN(L33,-2)))</f>
        <v>#N/A</v>
      </c>
      <c r="M34" s="744" t="e">
        <f t="shared" ref="M34" si="28">IF(M33&gt;100000,ROUNDDOWN(M33,-4),IF(M33&gt;10000,ROUNDDOWN(M33,-3),ROUNDDOWN(M33,-2)))</f>
        <v>#N/A</v>
      </c>
      <c r="N34" s="744" t="e">
        <f t="shared" ref="N34" si="29">IF(N33&gt;100000,ROUNDDOWN(N33,-4),IF(N33&gt;10000,ROUNDDOWN(N33,-3),ROUNDDOWN(N33,-2)))</f>
        <v>#N/A</v>
      </c>
      <c r="O34" s="744" t="e">
        <f t="shared" ref="O34" si="30">IF(O33&gt;100000,ROUNDDOWN(O33,-4),IF(O33&gt;10000,ROUNDDOWN(O33,-3),ROUNDDOWN(O33,-2)))</f>
        <v>#N/A</v>
      </c>
      <c r="P34" s="744" t="e">
        <f t="shared" ref="P34" si="31">IF(P33&gt;100000,ROUNDDOWN(P33,-4),IF(P33&gt;10000,ROUNDDOWN(P33,-3),ROUNDDOWN(P33,-2)))</f>
        <v>#N/A</v>
      </c>
      <c r="Q34" s="744" t="e">
        <f t="shared" ref="Q34" si="32">IF(Q33&gt;100000,ROUNDDOWN(Q33,-4),IF(Q33&gt;10000,ROUNDDOWN(Q33,-3),ROUNDDOWN(Q33,-2)))</f>
        <v>#N/A</v>
      </c>
      <c r="R34" s="744" t="e">
        <f t="shared" ref="R34" si="33">IF(R33&gt;100000,ROUNDDOWN(R33,-4),IF(R33&gt;10000,ROUNDDOWN(R33,-3),ROUNDDOWN(R33,-2)))</f>
        <v>#N/A</v>
      </c>
      <c r="S34" s="744" t="e">
        <f t="shared" ref="S34" si="34">IF(S33&gt;100000,ROUNDDOWN(S33,-4),IF(S33&gt;10000,ROUNDDOWN(S33,-3),ROUNDDOWN(S33,-2)))</f>
        <v>#N/A</v>
      </c>
      <c r="T34" s="744" t="e">
        <f t="shared" ref="T34" si="35">IF(T33&gt;100000,ROUNDDOWN(T33,-4),IF(T33&gt;10000,ROUNDDOWN(T33,-3),ROUNDDOWN(T33,-2)))</f>
        <v>#N/A</v>
      </c>
      <c r="U34" s="826" t="e">
        <f t="shared" ref="U34" si="36">IF(U33&gt;100000,ROUNDDOWN(U33,-4),IF(U33&gt;10000,ROUNDDOWN(U33,-3),ROUNDDOWN(U33,-2)))</f>
        <v>#N/A</v>
      </c>
      <c r="X34" s="716" t="s">
        <v>1018</v>
      </c>
      <c r="Y34" s="44" t="s">
        <v>1033</v>
      </c>
      <c r="AA34" s="435"/>
      <c r="AB34" s="250"/>
    </row>
    <row r="35" spans="2:28" s="44" customFormat="1" ht="15" customHeight="1" x14ac:dyDescent="0.3">
      <c r="B35" s="963"/>
      <c r="C35" s="960" t="str">
        <f>IF(Language="English", $AA35, $AB35)</f>
        <v>Modern contraceptive prevalence rate (mCPR)</v>
      </c>
      <c r="D35" s="960"/>
      <c r="E35" s="960"/>
      <c r="F35" s="960"/>
      <c r="G35" s="960"/>
      <c r="H35" s="960"/>
      <c r="I35" s="960"/>
      <c r="J35" s="960"/>
      <c r="K35" s="960"/>
      <c r="L35" s="960"/>
      <c r="M35" s="960"/>
      <c r="N35" s="960"/>
      <c r="O35" s="960"/>
      <c r="P35" s="960"/>
      <c r="Q35" s="960"/>
      <c r="R35" s="960"/>
      <c r="S35" s="960"/>
      <c r="T35" s="960"/>
      <c r="U35" s="961"/>
      <c r="V35" s="118"/>
      <c r="W35"/>
      <c r="X35"/>
      <c r="Y35"/>
      <c r="AA35" s="435" t="s">
        <v>1048</v>
      </c>
      <c r="AB35" s="436" t="s">
        <v>1045</v>
      </c>
    </row>
    <row r="36" spans="2:28" ht="15" customHeight="1" x14ac:dyDescent="0.3">
      <c r="B36" s="963"/>
      <c r="C36" s="745">
        <f>VLOOKUP($X36&amp;$Y36&amp;"50", 'Indicator Calculations'!$A$8:$Z$52, MATCH(C$9,'Indicator Calculations'!$A$7:$Z$7, 0), FALSE)</f>
        <v>0</v>
      </c>
      <c r="D36" s="668">
        <f>VLOOKUP($X36&amp;$Y36&amp;"50", 'Indicator Calculations'!$A$8:$Z$52, MATCH(D$9,'Indicator Calculations'!$A$7:$Z$7, 0), FALSE)</f>
        <v>0</v>
      </c>
      <c r="E36" s="668">
        <f>VLOOKUP($X36&amp;$Y36&amp;"50", 'Indicator Calculations'!$A$8:$Z$52, MATCH(E$9,'Indicator Calculations'!$A$7:$Z$7, 0), FALSE)</f>
        <v>0</v>
      </c>
      <c r="F36" s="668">
        <f>VLOOKUP($X36&amp;$Y36&amp;"50", 'Indicator Calculations'!$A$8:$Z$52, MATCH(F$9,'Indicator Calculations'!$A$7:$Z$7, 0), FALSE)</f>
        <v>0</v>
      </c>
      <c r="G36" s="668">
        <f>VLOOKUP($X36&amp;$Y36&amp;"50", 'Indicator Calculations'!$A$8:$Z$52, MATCH(G$9,'Indicator Calculations'!$A$7:$Z$7, 0), FALSE)</f>
        <v>0</v>
      </c>
      <c r="H36" s="668">
        <f>VLOOKUP($X36&amp;$Y36&amp;"50", 'Indicator Calculations'!$A$8:$Z$52, MATCH(H$9,'Indicator Calculations'!$A$7:$Z$7, 0), FALSE)</f>
        <v>0</v>
      </c>
      <c r="I36" s="668">
        <f>VLOOKUP($X36&amp;$Y36&amp;"50", 'Indicator Calculations'!$A$8:$Z$52, MATCH(I$9,'Indicator Calculations'!$A$7:$Z$7, 0), FALSE)</f>
        <v>0</v>
      </c>
      <c r="J36" s="668">
        <f>VLOOKUP($X36&amp;$Y36&amp;"50", 'Indicator Calculations'!$A$8:$Z$52, MATCH(J$9,'Indicator Calculations'!$A$7:$Z$7, 0), FALSE)</f>
        <v>0</v>
      </c>
      <c r="K36" s="668">
        <f>VLOOKUP($X36&amp;$Y36&amp;"50", 'Indicator Calculations'!$A$8:$Z$52, MATCH(K$9,'Indicator Calculations'!$A$7:$Z$7, 0), FALSE)</f>
        <v>0</v>
      </c>
      <c r="L36" s="668">
        <f>VLOOKUP($X36&amp;$Y36&amp;"50", 'Indicator Calculations'!$A$8:$Z$52, MATCH(L$9,'Indicator Calculations'!$A$7:$Z$7, 0), FALSE)</f>
        <v>0</v>
      </c>
      <c r="M36" s="668">
        <f>VLOOKUP($X36&amp;$Y36&amp;"50", 'Indicator Calculations'!$A$8:$Z$52, MATCH(M$9,'Indicator Calculations'!$A$7:$Z$7, 0), FALSE)</f>
        <v>0</v>
      </c>
      <c r="N36" s="668">
        <f>VLOOKUP($X36&amp;$Y36&amp;"50", 'Indicator Calculations'!$A$8:$Z$52, MATCH(N$9,'Indicator Calculations'!$A$7:$Z$7, 0), FALSE)</f>
        <v>0</v>
      </c>
      <c r="O36" s="668">
        <f>VLOOKUP($X36&amp;$Y36&amp;"50", 'Indicator Calculations'!$A$8:$Z$52, MATCH(O$9,'Indicator Calculations'!$A$7:$Z$7, 0), FALSE)</f>
        <v>0</v>
      </c>
      <c r="P36" s="668">
        <f>VLOOKUP($X36&amp;$Y36&amp;"50", 'Indicator Calculations'!$A$8:$Z$52, MATCH(P$9,'Indicator Calculations'!$A$7:$Z$7, 0), FALSE)</f>
        <v>0</v>
      </c>
      <c r="Q36" s="668">
        <f>VLOOKUP($X36&amp;$Y36&amp;"50", 'Indicator Calculations'!$A$8:$Z$52, MATCH(Q$9,'Indicator Calculations'!$A$7:$Z$7, 0), FALSE)</f>
        <v>0</v>
      </c>
      <c r="R36" s="668">
        <f>VLOOKUP($X36&amp;$Y36&amp;"50", 'Indicator Calculations'!$A$8:$Z$52, MATCH(R$9,'Indicator Calculations'!$A$7:$Z$7, 0), FALSE)</f>
        <v>0</v>
      </c>
      <c r="S36" s="668">
        <f>VLOOKUP($X36&amp;$Y36&amp;"50", 'Indicator Calculations'!$A$8:$Z$52, MATCH(S$9,'Indicator Calculations'!$A$7:$Z$7, 0), FALSE)</f>
        <v>0</v>
      </c>
      <c r="T36" s="668">
        <f>VLOOKUP($X36&amp;$Y36&amp;"50", 'Indicator Calculations'!$A$8:$Z$52, MATCH(T$9,'Indicator Calculations'!$A$7:$Z$7, 0), FALSE)</f>
        <v>0</v>
      </c>
      <c r="U36" s="669">
        <f>VLOOKUP($X36&amp;$Y36&amp;"50", 'Indicator Calculations'!$A$8:$Z$52, MATCH(U$9,'Indicator Calculations'!$A$7:$Z$7, 0), FALSE)</f>
        <v>0</v>
      </c>
      <c r="X36" s="27" t="s">
        <v>1018</v>
      </c>
      <c r="Y36" s="684" t="s">
        <v>1014</v>
      </c>
      <c r="AA36" s="435"/>
      <c r="AB36" s="250"/>
    </row>
    <row r="37" spans="2:28" s="44" customFormat="1" ht="15" customHeight="1" x14ac:dyDescent="0.3">
      <c r="B37" s="963"/>
      <c r="C37" s="960" t="str">
        <f>IF(Language="English", $AA37, $AB37)</f>
        <v xml:space="preserve">Percentage of women estimated to have an unmet need  for modern methods of contraception (mUMN) </v>
      </c>
      <c r="D37" s="960"/>
      <c r="E37" s="960"/>
      <c r="F37" s="960"/>
      <c r="G37" s="960"/>
      <c r="H37" s="960"/>
      <c r="I37" s="960"/>
      <c r="J37" s="960"/>
      <c r="K37" s="960"/>
      <c r="L37" s="960"/>
      <c r="M37" s="960"/>
      <c r="N37" s="960"/>
      <c r="O37" s="960"/>
      <c r="P37" s="960"/>
      <c r="Q37" s="960"/>
      <c r="R37" s="960"/>
      <c r="S37" s="960"/>
      <c r="T37" s="960"/>
      <c r="U37" s="961"/>
      <c r="W37"/>
      <c r="AA37" s="9" t="s">
        <v>1046</v>
      </c>
      <c r="AB37" s="20" t="s">
        <v>1049</v>
      </c>
    </row>
    <row r="38" spans="2:28" ht="15" customHeight="1" x14ac:dyDescent="0.3">
      <c r="B38" s="963"/>
      <c r="C38" s="745">
        <f>VLOOKUP($X38&amp;$Y38&amp;"50", 'Indicator Calculations'!$A$8:$Z$52, MATCH(C$9,'Indicator Calculations'!$A$7:$Z$7, 0), FALSE)</f>
        <v>0</v>
      </c>
      <c r="D38" s="668">
        <f>VLOOKUP($X38&amp;$Y38&amp;"50", 'Indicator Calculations'!$A$8:$Z$52, MATCH(D$9,'Indicator Calculations'!$A$7:$Z$7, 0), FALSE)</f>
        <v>0</v>
      </c>
      <c r="E38" s="668">
        <f>VLOOKUP($X38&amp;$Y38&amp;"50", 'Indicator Calculations'!$A$8:$Z$52, MATCH(E$9,'Indicator Calculations'!$A$7:$Z$7, 0), FALSE)</f>
        <v>0</v>
      </c>
      <c r="F38" s="668">
        <f>VLOOKUP($X38&amp;$Y38&amp;"50", 'Indicator Calculations'!$A$8:$Z$52, MATCH(F$9,'Indicator Calculations'!$A$7:$Z$7, 0), FALSE)</f>
        <v>0</v>
      </c>
      <c r="G38" s="668">
        <f>VLOOKUP($X38&amp;$Y38&amp;"50", 'Indicator Calculations'!$A$8:$Z$52, MATCH(G$9,'Indicator Calculations'!$A$7:$Z$7, 0), FALSE)</f>
        <v>0</v>
      </c>
      <c r="H38" s="668">
        <f>VLOOKUP($X38&amp;$Y38&amp;"50", 'Indicator Calculations'!$A$8:$Z$52, MATCH(H$9,'Indicator Calculations'!$A$7:$Z$7, 0), FALSE)</f>
        <v>0</v>
      </c>
      <c r="I38" s="668">
        <f>VLOOKUP($X38&amp;$Y38&amp;"50", 'Indicator Calculations'!$A$8:$Z$52, MATCH(I$9,'Indicator Calculations'!$A$7:$Z$7, 0), FALSE)</f>
        <v>0</v>
      </c>
      <c r="J38" s="668">
        <f>VLOOKUP($X38&amp;$Y38&amp;"50", 'Indicator Calculations'!$A$8:$Z$52, MATCH(J$9,'Indicator Calculations'!$A$7:$Z$7, 0), FALSE)</f>
        <v>0</v>
      </c>
      <c r="K38" s="668">
        <f>VLOOKUP($X38&amp;$Y38&amp;"50", 'Indicator Calculations'!$A$8:$Z$52, MATCH(K$9,'Indicator Calculations'!$A$7:$Z$7, 0), FALSE)</f>
        <v>0</v>
      </c>
      <c r="L38" s="668">
        <f>VLOOKUP($X38&amp;$Y38&amp;"50", 'Indicator Calculations'!$A$8:$Z$52, MATCH(L$9,'Indicator Calculations'!$A$7:$Z$7, 0), FALSE)</f>
        <v>0</v>
      </c>
      <c r="M38" s="668">
        <f>VLOOKUP($X38&amp;$Y38&amp;"50", 'Indicator Calculations'!$A$8:$Z$52, MATCH(M$9,'Indicator Calculations'!$A$7:$Z$7, 0), FALSE)</f>
        <v>0</v>
      </c>
      <c r="N38" s="668">
        <f>VLOOKUP($X38&amp;$Y38&amp;"50", 'Indicator Calculations'!$A$8:$Z$52, MATCH(N$9,'Indicator Calculations'!$A$7:$Z$7, 0), FALSE)</f>
        <v>0</v>
      </c>
      <c r="O38" s="668">
        <f>VLOOKUP($X38&amp;$Y38&amp;"50", 'Indicator Calculations'!$A$8:$Z$52, MATCH(O$9,'Indicator Calculations'!$A$7:$Z$7, 0), FALSE)</f>
        <v>0</v>
      </c>
      <c r="P38" s="668">
        <f>VLOOKUP($X38&amp;$Y38&amp;"50", 'Indicator Calculations'!$A$8:$Z$52, MATCH(P$9,'Indicator Calculations'!$A$7:$Z$7, 0), FALSE)</f>
        <v>0</v>
      </c>
      <c r="Q38" s="668">
        <f>VLOOKUP($X38&amp;$Y38&amp;"50", 'Indicator Calculations'!$A$8:$Z$52, MATCH(Q$9,'Indicator Calculations'!$A$7:$Z$7, 0), FALSE)</f>
        <v>0</v>
      </c>
      <c r="R38" s="668">
        <f>VLOOKUP($X38&amp;$Y38&amp;"50", 'Indicator Calculations'!$A$8:$Z$52, MATCH(R$9,'Indicator Calculations'!$A$7:$Z$7, 0), FALSE)</f>
        <v>0</v>
      </c>
      <c r="S38" s="668">
        <f>VLOOKUP($X38&amp;$Y38&amp;"50", 'Indicator Calculations'!$A$8:$Z$52, MATCH(S$9,'Indicator Calculations'!$A$7:$Z$7, 0), FALSE)</f>
        <v>0</v>
      </c>
      <c r="T38" s="668">
        <f>VLOOKUP($X38&amp;$Y38&amp;"50", 'Indicator Calculations'!$A$8:$Z$52, MATCH(T$9,'Indicator Calculations'!$A$7:$Z$7, 0), FALSE)</f>
        <v>0</v>
      </c>
      <c r="U38" s="669">
        <f>VLOOKUP($X38&amp;$Y38&amp;"50", 'Indicator Calculations'!$A$8:$Z$52, MATCH(U$9,'Indicator Calculations'!$A$7:$Z$7, 0), FALSE)</f>
        <v>0</v>
      </c>
      <c r="X38" s="27" t="s">
        <v>1018</v>
      </c>
      <c r="Y38" s="684" t="s">
        <v>1017</v>
      </c>
      <c r="AA38" s="435"/>
      <c r="AB38" s="250"/>
    </row>
    <row r="39" spans="2:28" s="44" customFormat="1" ht="15" customHeight="1" x14ac:dyDescent="0.3">
      <c r="B39" s="963"/>
      <c r="C39" s="960" t="str">
        <f>IF(Language="English", $AA39, $AB39)</f>
        <v>Percentage of women estimated to have their demand for family planning is satisfied met with a modern method of contraception (mDS)</v>
      </c>
      <c r="D39" s="960"/>
      <c r="E39" s="960"/>
      <c r="F39" s="960"/>
      <c r="G39" s="960"/>
      <c r="H39" s="960"/>
      <c r="I39" s="960"/>
      <c r="J39" s="960"/>
      <c r="K39" s="960"/>
      <c r="L39" s="960"/>
      <c r="M39" s="960"/>
      <c r="N39" s="960"/>
      <c r="O39" s="960"/>
      <c r="P39" s="960"/>
      <c r="Q39" s="960"/>
      <c r="R39" s="960"/>
      <c r="S39" s="960"/>
      <c r="T39" s="960"/>
      <c r="U39" s="961"/>
      <c r="W39"/>
      <c r="AA39" s="9" t="s">
        <v>1047</v>
      </c>
      <c r="AB39" s="250" t="s">
        <v>1050</v>
      </c>
    </row>
    <row r="40" spans="2:28" ht="15" customHeight="1" x14ac:dyDescent="0.3">
      <c r="B40" s="964"/>
      <c r="C40" s="746">
        <f>VLOOKUP($X40&amp;$Y40&amp;"50", 'Indicator Calculations'!$A$8:$Z$52, MATCH(C$9,'Indicator Calculations'!$A$7:$Z$7, 0), FALSE)</f>
        <v>0</v>
      </c>
      <c r="D40" s="670">
        <f>VLOOKUP($X40&amp;$Y40&amp;"50", 'Indicator Calculations'!$A$8:$Z$52, MATCH(D$9,'Indicator Calculations'!$A$7:$Z$7, 0), FALSE)</f>
        <v>0</v>
      </c>
      <c r="E40" s="670">
        <f>VLOOKUP($X40&amp;$Y40&amp;"50", 'Indicator Calculations'!$A$8:$Z$52, MATCH(E$9,'Indicator Calculations'!$A$7:$Z$7, 0), FALSE)</f>
        <v>0</v>
      </c>
      <c r="F40" s="670">
        <f>VLOOKUP($X40&amp;$Y40&amp;"50", 'Indicator Calculations'!$A$8:$Z$52, MATCH(F$9,'Indicator Calculations'!$A$7:$Z$7, 0), FALSE)</f>
        <v>0</v>
      </c>
      <c r="G40" s="670">
        <f>VLOOKUP($X40&amp;$Y40&amp;"50", 'Indicator Calculations'!$A$8:$Z$52, MATCH(G$9,'Indicator Calculations'!$A$7:$Z$7, 0), FALSE)</f>
        <v>0</v>
      </c>
      <c r="H40" s="670">
        <f>VLOOKUP($X40&amp;$Y40&amp;"50", 'Indicator Calculations'!$A$8:$Z$52, MATCH(H$9,'Indicator Calculations'!$A$7:$Z$7, 0), FALSE)</f>
        <v>0</v>
      </c>
      <c r="I40" s="670">
        <f>VLOOKUP($X40&amp;$Y40&amp;"50", 'Indicator Calculations'!$A$8:$Z$52, MATCH(I$9,'Indicator Calculations'!$A$7:$Z$7, 0), FALSE)</f>
        <v>0</v>
      </c>
      <c r="J40" s="670">
        <f>VLOOKUP($X40&amp;$Y40&amp;"50", 'Indicator Calculations'!$A$8:$Z$52, MATCH(J$9,'Indicator Calculations'!$A$7:$Z$7, 0), FALSE)</f>
        <v>0</v>
      </c>
      <c r="K40" s="670">
        <f>VLOOKUP($X40&amp;$Y40&amp;"50", 'Indicator Calculations'!$A$8:$Z$52, MATCH(K$9,'Indicator Calculations'!$A$7:$Z$7, 0), FALSE)</f>
        <v>0</v>
      </c>
      <c r="L40" s="670">
        <f>VLOOKUP($X40&amp;$Y40&amp;"50", 'Indicator Calculations'!$A$8:$Z$52, MATCH(L$9,'Indicator Calculations'!$A$7:$Z$7, 0), FALSE)</f>
        <v>0</v>
      </c>
      <c r="M40" s="670">
        <f>VLOOKUP($X40&amp;$Y40&amp;"50", 'Indicator Calculations'!$A$8:$Z$52, MATCH(M$9,'Indicator Calculations'!$A$7:$Z$7, 0), FALSE)</f>
        <v>0</v>
      </c>
      <c r="N40" s="670">
        <f>VLOOKUP($X40&amp;$Y40&amp;"50", 'Indicator Calculations'!$A$8:$Z$52, MATCH(N$9,'Indicator Calculations'!$A$7:$Z$7, 0), FALSE)</f>
        <v>0</v>
      </c>
      <c r="O40" s="670">
        <f>VLOOKUP($X40&amp;$Y40&amp;"50", 'Indicator Calculations'!$A$8:$Z$52, MATCH(O$9,'Indicator Calculations'!$A$7:$Z$7, 0), FALSE)</f>
        <v>0</v>
      </c>
      <c r="P40" s="670">
        <f>VLOOKUP($X40&amp;$Y40&amp;"50", 'Indicator Calculations'!$A$8:$Z$52, MATCH(P$9,'Indicator Calculations'!$A$7:$Z$7, 0), FALSE)</f>
        <v>0</v>
      </c>
      <c r="Q40" s="670">
        <f>VLOOKUP($X40&amp;$Y40&amp;"50", 'Indicator Calculations'!$A$8:$Z$52, MATCH(Q$9,'Indicator Calculations'!$A$7:$Z$7, 0), FALSE)</f>
        <v>0</v>
      </c>
      <c r="R40" s="670">
        <f>VLOOKUP($X40&amp;$Y40&amp;"50", 'Indicator Calculations'!$A$8:$Z$52, MATCH(R$9,'Indicator Calculations'!$A$7:$Z$7, 0), FALSE)</f>
        <v>0</v>
      </c>
      <c r="S40" s="670">
        <f>VLOOKUP($X40&amp;$Y40&amp;"50", 'Indicator Calculations'!$A$8:$Z$52, MATCH(S$9,'Indicator Calculations'!$A$7:$Z$7, 0), FALSE)</f>
        <v>0</v>
      </c>
      <c r="T40" s="670">
        <f>VLOOKUP($X40&amp;$Y40&amp;"50", 'Indicator Calculations'!$A$8:$Z$52, MATCH(T$9,'Indicator Calculations'!$A$7:$Z$7, 0), FALSE)</f>
        <v>0</v>
      </c>
      <c r="U40" s="671">
        <f>VLOOKUP($X40&amp;$Y40&amp;"50", 'Indicator Calculations'!$A$8:$Z$52, MATCH(U$9,'Indicator Calculations'!$A$7:$Z$7, 0), FALSE)</f>
        <v>0</v>
      </c>
      <c r="X40" s="27" t="s">
        <v>1018</v>
      </c>
      <c r="Y40" s="684" t="s">
        <v>1016</v>
      </c>
      <c r="AA40" s="9"/>
      <c r="AB40" s="450"/>
    </row>
    <row r="41" spans="2:28" ht="15" customHeight="1" x14ac:dyDescent="0.3">
      <c r="B41" s="44"/>
      <c r="C41" s="44"/>
      <c r="D41" s="665"/>
      <c r="E41" s="665"/>
      <c r="F41" s="665"/>
      <c r="G41" s="665"/>
      <c r="H41" s="665"/>
      <c r="I41" s="665"/>
      <c r="J41" s="665"/>
      <c r="K41" s="665"/>
      <c r="L41" s="665"/>
      <c r="M41" s="665"/>
      <c r="N41" s="665"/>
      <c r="O41" s="665"/>
      <c r="P41" s="665"/>
      <c r="Q41" s="665"/>
      <c r="R41" s="665"/>
      <c r="S41" s="665"/>
      <c r="T41" s="665"/>
      <c r="U41" s="665"/>
      <c r="AA41" s="42"/>
      <c r="AB41" s="450"/>
    </row>
    <row r="42" spans="2:28" s="44" customFormat="1" ht="15" customHeight="1" x14ac:dyDescent="0.3">
      <c r="B42" s="758" t="str">
        <f>IF(Language="English", $AA42, $AB42)</f>
        <v>The Impacts of Modern Contraceptive Use among All Women</v>
      </c>
      <c r="C42" s="758"/>
      <c r="D42" s="758"/>
      <c r="E42" s="758"/>
      <c r="F42" s="758"/>
      <c r="G42" s="758"/>
      <c r="H42" s="758"/>
      <c r="I42" s="758"/>
      <c r="J42" s="758"/>
      <c r="K42" s="758"/>
      <c r="L42" s="758"/>
      <c r="M42" s="758"/>
      <c r="N42" s="758"/>
      <c r="O42" s="758"/>
      <c r="P42" s="758"/>
      <c r="Q42" s="758"/>
      <c r="R42" s="758"/>
      <c r="S42" s="758"/>
      <c r="T42" s="758"/>
      <c r="U42" s="758"/>
      <c r="V42" s="685"/>
      <c r="W42"/>
      <c r="X42"/>
      <c r="Y42"/>
      <c r="AA42" s="435" t="s">
        <v>1031</v>
      </c>
      <c r="AB42" s="252" t="s">
        <v>1051</v>
      </c>
    </row>
    <row r="43" spans="2:28" s="408" customFormat="1" ht="36" customHeight="1" x14ac:dyDescent="0.3">
      <c r="B43" s="959" t="str">
        <f>IF(Language="English", $AA43, $AB43)</f>
        <v>The impact indicators show the impact of modern contraceptives in terms of the negative outcomes that did not occur because women were using modern contraceptives (and therefore did not experience unintended pregnancies, and related consequences).  The 2012 number represents the impact that the total number of women using a modern method of contraception in 2012 (shown above) had in the country (e.g. if none of those women were using modern contraceptives in 2012, there would have been xxx more unintended pregnancies).  Increases from the 2012 number show the additional impacts generated by increasing the number of women using modern contraception and changes in method mix.</v>
      </c>
      <c r="C43" s="959"/>
      <c r="D43" s="959"/>
      <c r="E43" s="959"/>
      <c r="F43" s="959"/>
      <c r="G43" s="959"/>
      <c r="H43" s="959"/>
      <c r="I43" s="959"/>
      <c r="J43" s="959"/>
      <c r="K43" s="959"/>
      <c r="L43" s="959"/>
      <c r="M43" s="959"/>
      <c r="N43" s="959"/>
      <c r="O43" s="959"/>
      <c r="P43" s="959"/>
      <c r="Q43" s="959"/>
      <c r="R43" s="959"/>
      <c r="S43" s="959"/>
      <c r="T43" s="959"/>
      <c r="U43" s="959"/>
      <c r="V43" s="673"/>
      <c r="W43"/>
      <c r="X43"/>
      <c r="Y43"/>
      <c r="AA43" s="42" t="s">
        <v>1036</v>
      </c>
      <c r="AB43" s="256" t="s">
        <v>1037</v>
      </c>
    </row>
    <row r="44" spans="2:28" ht="15" customHeight="1" x14ac:dyDescent="0.3">
      <c r="B44" s="766"/>
      <c r="C44" s="767">
        <v>2012</v>
      </c>
      <c r="D44" s="768">
        <v>2013</v>
      </c>
      <c r="E44" s="768">
        <v>2014</v>
      </c>
      <c r="F44" s="768">
        <v>2015</v>
      </c>
      <c r="G44" s="768">
        <v>2016</v>
      </c>
      <c r="H44" s="768">
        <v>2017</v>
      </c>
      <c r="I44" s="768">
        <v>2018</v>
      </c>
      <c r="J44" s="768">
        <v>2019</v>
      </c>
      <c r="K44" s="768">
        <v>2020</v>
      </c>
      <c r="L44" s="768">
        <v>2021</v>
      </c>
      <c r="M44" s="768">
        <v>2022</v>
      </c>
      <c r="N44" s="768">
        <v>2023</v>
      </c>
      <c r="O44" s="768">
        <v>2024</v>
      </c>
      <c r="P44" s="768">
        <v>2025</v>
      </c>
      <c r="Q44" s="768">
        <v>2026</v>
      </c>
      <c r="R44" s="768">
        <v>2027</v>
      </c>
      <c r="S44" s="768">
        <v>2028</v>
      </c>
      <c r="T44" s="768">
        <v>2029</v>
      </c>
      <c r="U44" s="769">
        <v>2030</v>
      </c>
      <c r="AA44" s="42"/>
      <c r="AB44" s="253"/>
    </row>
    <row r="45" spans="2:28" s="44" customFormat="1" ht="15" customHeight="1" x14ac:dyDescent="0.3">
      <c r="B45" s="1007" t="str">
        <f>IF(Language="English", $AA45, $AB45)</f>
        <v>Number of unintended pregnancies</v>
      </c>
      <c r="C45" s="960"/>
      <c r="D45" s="960"/>
      <c r="E45" s="960"/>
      <c r="F45" s="960"/>
      <c r="G45" s="960"/>
      <c r="H45" s="960"/>
      <c r="I45" s="960"/>
      <c r="J45" s="960"/>
      <c r="K45" s="960"/>
      <c r="L45" s="960"/>
      <c r="M45" s="960"/>
      <c r="N45" s="960"/>
      <c r="O45" s="960"/>
      <c r="P45" s="960"/>
      <c r="Q45" s="960"/>
      <c r="R45" s="960"/>
      <c r="S45" s="960"/>
      <c r="T45" s="960"/>
      <c r="U45" s="961"/>
      <c r="W45"/>
      <c r="X45"/>
      <c r="Y45"/>
      <c r="AA45" s="435" t="s">
        <v>9</v>
      </c>
      <c r="AB45" s="436" t="s">
        <v>51</v>
      </c>
    </row>
    <row r="46" spans="2:28" ht="15" customHeight="1" x14ac:dyDescent="0.3">
      <c r="B46" s="680"/>
      <c r="C46" s="677" t="e">
        <f>IF('Impact Calculations'!D24&lt;10000, ROUNDDOWN('Impact Calculations'!D24, -2), ROUNDDOWN('Impact Calculations'!D24, -3))</f>
        <v>#N/A</v>
      </c>
      <c r="D46" s="666" t="e">
        <f>IF('Impact Calculations'!E24&lt;10000, ROUNDDOWN('Impact Calculations'!E24, -2), ROUNDDOWN('Impact Calculations'!E24, -3))</f>
        <v>#N/A</v>
      </c>
      <c r="E46" s="666" t="e">
        <f>IF('Impact Calculations'!F24&lt;10000, ROUNDDOWN('Impact Calculations'!F24, -2), ROUNDDOWN('Impact Calculations'!F24, -3))</f>
        <v>#N/A</v>
      </c>
      <c r="F46" s="666" t="e">
        <f>IF('Impact Calculations'!G24&lt;10000, ROUNDDOWN('Impact Calculations'!G24, -2), ROUNDDOWN('Impact Calculations'!G24, -3))</f>
        <v>#N/A</v>
      </c>
      <c r="G46" s="666" t="e">
        <f>IF('Impact Calculations'!H24&lt;10000, ROUNDDOWN('Impact Calculations'!H24, -2), ROUNDDOWN('Impact Calculations'!H24, -3))</f>
        <v>#N/A</v>
      </c>
      <c r="H46" s="666" t="e">
        <f>IF('Impact Calculations'!I24&lt;10000, ROUNDDOWN('Impact Calculations'!I24, -2), ROUNDDOWN('Impact Calculations'!I24, -3))</f>
        <v>#N/A</v>
      </c>
      <c r="I46" s="666" t="e">
        <f>IF('Impact Calculations'!J24&lt;10000, ROUNDDOWN('Impact Calculations'!J24, -2), ROUNDDOWN('Impact Calculations'!J24, -3))</f>
        <v>#N/A</v>
      </c>
      <c r="J46" s="666" t="e">
        <f>IF('Impact Calculations'!K24&lt;10000, ROUNDDOWN('Impact Calculations'!K24, -2), ROUNDDOWN('Impact Calculations'!K24, -3))</f>
        <v>#N/A</v>
      </c>
      <c r="K46" s="666" t="e">
        <f>IF('Impact Calculations'!L24&lt;10000, ROUNDDOWN('Impact Calculations'!L24, -2), ROUNDDOWN('Impact Calculations'!L24, -3))</f>
        <v>#N/A</v>
      </c>
      <c r="L46" s="666" t="e">
        <f>IF('Impact Calculations'!M24&lt;10000, ROUNDDOWN('Impact Calculations'!M24, -2), ROUNDDOWN('Impact Calculations'!M24, -3))</f>
        <v>#N/A</v>
      </c>
      <c r="M46" s="666" t="e">
        <f>IF('Impact Calculations'!N24&lt;10000, ROUNDDOWN('Impact Calculations'!N24, -2), ROUNDDOWN('Impact Calculations'!N24, -3))</f>
        <v>#N/A</v>
      </c>
      <c r="N46" s="666" t="e">
        <f>IF('Impact Calculations'!O24&lt;10000, ROUNDDOWN('Impact Calculations'!O24, -2), ROUNDDOWN('Impact Calculations'!O24, -3))</f>
        <v>#N/A</v>
      </c>
      <c r="O46" s="666" t="e">
        <f>IF('Impact Calculations'!P24&lt;10000, ROUNDDOWN('Impact Calculations'!P24, -2), ROUNDDOWN('Impact Calculations'!P24, -3))</f>
        <v>#N/A</v>
      </c>
      <c r="P46" s="666" t="e">
        <f>IF('Impact Calculations'!Q24&lt;10000, ROUNDDOWN('Impact Calculations'!Q24, -2), ROUNDDOWN('Impact Calculations'!Q24, -3))</f>
        <v>#N/A</v>
      </c>
      <c r="Q46" s="666" t="e">
        <f>IF('Impact Calculations'!R24&lt;10000, ROUNDDOWN('Impact Calculations'!R24, -2), ROUNDDOWN('Impact Calculations'!R24, -3))</f>
        <v>#N/A</v>
      </c>
      <c r="R46" s="666" t="e">
        <f>IF('Impact Calculations'!S24&lt;10000, ROUNDDOWN('Impact Calculations'!S24, -2), ROUNDDOWN('Impact Calculations'!S24, -3))</f>
        <v>#N/A</v>
      </c>
      <c r="S46" s="666" t="e">
        <f>IF('Impact Calculations'!T24&lt;10000, ROUNDDOWN('Impact Calculations'!T24, -2), ROUNDDOWN('Impact Calculations'!T24, -3))</f>
        <v>#N/A</v>
      </c>
      <c r="T46" s="666" t="e">
        <f>IF('Impact Calculations'!U24&lt;10000, ROUNDDOWN('Impact Calculations'!U24, -2), ROUNDDOWN('Impact Calculations'!U24, -3))</f>
        <v>#N/A</v>
      </c>
      <c r="U46" s="667" t="e">
        <f>IF('Impact Calculations'!V24&lt;10000, ROUNDDOWN('Impact Calculations'!V24, -2), ROUNDDOWN('Impact Calculations'!V24, -3))</f>
        <v>#N/A</v>
      </c>
      <c r="AA46" s="42" t="s">
        <v>807</v>
      </c>
      <c r="AB46" s="42" t="s">
        <v>622</v>
      </c>
    </row>
    <row r="47" spans="2:28" s="44" customFormat="1" ht="15" customHeight="1" x14ac:dyDescent="0.3">
      <c r="B47" s="1007" t="str">
        <f>IF(Language="English", $AA47, $AB47)</f>
        <v>Number of unintended pregnancies averted due to modern contraceptive use</v>
      </c>
      <c r="C47" s="960"/>
      <c r="D47" s="960"/>
      <c r="E47" s="960"/>
      <c r="F47" s="960"/>
      <c r="G47" s="960"/>
      <c r="H47" s="960"/>
      <c r="I47" s="960"/>
      <c r="J47" s="960"/>
      <c r="K47" s="960"/>
      <c r="L47" s="960"/>
      <c r="M47" s="960"/>
      <c r="N47" s="960"/>
      <c r="O47" s="960"/>
      <c r="P47" s="960"/>
      <c r="Q47" s="960"/>
      <c r="R47" s="960"/>
      <c r="S47" s="960"/>
      <c r="T47" s="960"/>
      <c r="U47" s="961"/>
      <c r="V47" s="118"/>
      <c r="W47"/>
      <c r="X47"/>
      <c r="Y47"/>
      <c r="AA47" s="435" t="s">
        <v>25</v>
      </c>
      <c r="AB47" s="436" t="s">
        <v>105</v>
      </c>
    </row>
    <row r="48" spans="2:28" ht="15" customHeight="1" x14ac:dyDescent="0.3">
      <c r="B48" s="680"/>
      <c r="C48" s="677" t="e">
        <f>IF('Impact Calculations'!D69&lt;10000, ROUNDDOWN('Impact Calculations'!D69, -2), ROUNDDOWN('Impact Calculations'!D69, -3))</f>
        <v>#N/A</v>
      </c>
      <c r="D48" s="666" t="e">
        <f>IF('Impact Calculations'!E69&lt;10000, ROUNDDOWN('Impact Calculations'!E69, -2), ROUNDDOWN('Impact Calculations'!E69, -3))</f>
        <v>#N/A</v>
      </c>
      <c r="E48" s="666" t="e">
        <f>IF('Impact Calculations'!F69&lt;10000, ROUNDDOWN('Impact Calculations'!F69, -2), ROUNDDOWN('Impact Calculations'!F69, -3))</f>
        <v>#N/A</v>
      </c>
      <c r="F48" s="666" t="e">
        <f>IF('Impact Calculations'!G69&lt;10000, ROUNDDOWN('Impact Calculations'!G69, -2), ROUNDDOWN('Impact Calculations'!G69, -3))</f>
        <v>#N/A</v>
      </c>
      <c r="G48" s="666" t="e">
        <f>IF('Impact Calculations'!H69&lt;10000, ROUNDDOWN('Impact Calculations'!H69, -2), ROUNDDOWN('Impact Calculations'!H69, -3))</f>
        <v>#N/A</v>
      </c>
      <c r="H48" s="666" t="e">
        <f>IF('Impact Calculations'!I69&lt;10000, ROUNDDOWN('Impact Calculations'!I69, -2), ROUNDDOWN('Impact Calculations'!I69, -3))</f>
        <v>#N/A</v>
      </c>
      <c r="I48" s="666" t="e">
        <f>IF('Impact Calculations'!J69&lt;10000, ROUNDDOWN('Impact Calculations'!J69, -2), ROUNDDOWN('Impact Calculations'!J69, -3))</f>
        <v>#N/A</v>
      </c>
      <c r="J48" s="666" t="e">
        <f>IF('Impact Calculations'!K69&lt;10000, ROUNDDOWN('Impact Calculations'!K69, -2), ROUNDDOWN('Impact Calculations'!K69, -3))</f>
        <v>#N/A</v>
      </c>
      <c r="K48" s="666" t="e">
        <f>IF('Impact Calculations'!L69&lt;10000, ROUNDDOWN('Impact Calculations'!L69, -2), ROUNDDOWN('Impact Calculations'!L69, -3))</f>
        <v>#N/A</v>
      </c>
      <c r="L48" s="666" t="e">
        <f>IF('Impact Calculations'!M69&lt;10000, ROUNDDOWN('Impact Calculations'!M69, -2), ROUNDDOWN('Impact Calculations'!M69, -3))</f>
        <v>#N/A</v>
      </c>
      <c r="M48" s="666" t="e">
        <f>IF('Impact Calculations'!N69&lt;10000, ROUNDDOWN('Impact Calculations'!N69, -2), ROUNDDOWN('Impact Calculations'!N69, -3))</f>
        <v>#N/A</v>
      </c>
      <c r="N48" s="666" t="e">
        <f>IF('Impact Calculations'!O69&lt;10000, ROUNDDOWN('Impact Calculations'!O69, -2), ROUNDDOWN('Impact Calculations'!O69, -3))</f>
        <v>#N/A</v>
      </c>
      <c r="O48" s="666" t="e">
        <f>IF('Impact Calculations'!P69&lt;10000, ROUNDDOWN('Impact Calculations'!P69, -2), ROUNDDOWN('Impact Calculations'!P69, -3))</f>
        <v>#N/A</v>
      </c>
      <c r="P48" s="666" t="e">
        <f>IF('Impact Calculations'!Q69&lt;10000, ROUNDDOWN('Impact Calculations'!Q69, -2), ROUNDDOWN('Impact Calculations'!Q69, -3))</f>
        <v>#N/A</v>
      </c>
      <c r="Q48" s="666" t="e">
        <f>IF('Impact Calculations'!R69&lt;10000, ROUNDDOWN('Impact Calculations'!R69, -2), ROUNDDOWN('Impact Calculations'!R69, -3))</f>
        <v>#N/A</v>
      </c>
      <c r="R48" s="666" t="e">
        <f>IF('Impact Calculations'!S69&lt;10000, ROUNDDOWN('Impact Calculations'!S69, -2), ROUNDDOWN('Impact Calculations'!S69, -3))</f>
        <v>#N/A</v>
      </c>
      <c r="S48" s="666" t="e">
        <f>IF('Impact Calculations'!T69&lt;10000, ROUNDDOWN('Impact Calculations'!T69, -2), ROUNDDOWN('Impact Calculations'!T69, -3))</f>
        <v>#N/A</v>
      </c>
      <c r="T48" s="666" t="e">
        <f>IF('Impact Calculations'!U69&lt;10000, ROUNDDOWN('Impact Calculations'!U69, -2), ROUNDDOWN('Impact Calculations'!U69, -3))</f>
        <v>#N/A</v>
      </c>
      <c r="U48" s="667" t="e">
        <f>IF('Impact Calculations'!V69&lt;10000, ROUNDDOWN('Impact Calculations'!V69, -2), ROUNDDOWN('Impact Calculations'!V69, -3))</f>
        <v>#N/A</v>
      </c>
      <c r="AA48" s="42" t="s">
        <v>808</v>
      </c>
      <c r="AB48" s="450" t="s">
        <v>813</v>
      </c>
    </row>
    <row r="49" spans="2:28" s="44" customFormat="1" ht="15" customHeight="1" x14ac:dyDescent="0.3">
      <c r="B49" s="1007" t="str">
        <f>IF(Language="English", $AA49, $AB49)</f>
        <v>Number of unsafe abortions averted due to modern contraceptive use</v>
      </c>
      <c r="C49" s="960"/>
      <c r="D49" s="960"/>
      <c r="E49" s="960"/>
      <c r="F49" s="960"/>
      <c r="G49" s="960"/>
      <c r="H49" s="960"/>
      <c r="I49" s="960"/>
      <c r="J49" s="960"/>
      <c r="K49" s="960"/>
      <c r="L49" s="960"/>
      <c r="M49" s="960"/>
      <c r="N49" s="960"/>
      <c r="O49" s="960"/>
      <c r="P49" s="960"/>
      <c r="Q49" s="960"/>
      <c r="R49" s="960"/>
      <c r="S49" s="960"/>
      <c r="T49" s="960"/>
      <c r="U49" s="961"/>
      <c r="W49"/>
      <c r="X49"/>
      <c r="Y49"/>
      <c r="AA49" s="435" t="s">
        <v>27</v>
      </c>
      <c r="AB49" s="436" t="s">
        <v>104</v>
      </c>
    </row>
    <row r="50" spans="2:28" ht="15" customHeight="1" x14ac:dyDescent="0.3">
      <c r="B50" s="680"/>
      <c r="C50" s="677" t="e">
        <f>IF('Impact Calculations'!D91&lt;10000, ROUNDDOWN('Impact Calculations'!D91, -2), ROUNDDOWN('Impact Calculations'!D91, -3))</f>
        <v>#N/A</v>
      </c>
      <c r="D50" s="666" t="e">
        <f>IF('Impact Calculations'!E91&lt;10000, ROUNDDOWN('Impact Calculations'!E91, -2), ROUNDDOWN('Impact Calculations'!E91, -3))</f>
        <v>#N/A</v>
      </c>
      <c r="E50" s="666" t="e">
        <f>IF('Impact Calculations'!F91&lt;10000, ROUNDDOWN('Impact Calculations'!F91, -2), ROUNDDOWN('Impact Calculations'!F91, -3))</f>
        <v>#N/A</v>
      </c>
      <c r="F50" s="666" t="e">
        <f>IF('Impact Calculations'!G91&lt;10000, ROUNDDOWN('Impact Calculations'!G91, -2), ROUNDDOWN('Impact Calculations'!G91, -3))</f>
        <v>#N/A</v>
      </c>
      <c r="G50" s="666" t="e">
        <f>IF('Impact Calculations'!H91&lt;10000, ROUNDDOWN('Impact Calculations'!H91, -2), ROUNDDOWN('Impact Calculations'!H91, -3))</f>
        <v>#N/A</v>
      </c>
      <c r="H50" s="666" t="e">
        <f>IF('Impact Calculations'!I91&lt;10000, ROUNDDOWN('Impact Calculations'!I91, -2), ROUNDDOWN('Impact Calculations'!I91, -3))</f>
        <v>#N/A</v>
      </c>
      <c r="I50" s="666" t="e">
        <f>IF('Impact Calculations'!J91&lt;10000, ROUNDDOWN('Impact Calculations'!J91, -2), ROUNDDOWN('Impact Calculations'!J91, -3))</f>
        <v>#N/A</v>
      </c>
      <c r="J50" s="666" t="e">
        <f>IF('Impact Calculations'!K91&lt;10000, ROUNDDOWN('Impact Calculations'!K91, -2), ROUNDDOWN('Impact Calculations'!K91, -3))</f>
        <v>#N/A</v>
      </c>
      <c r="K50" s="666" t="e">
        <f>IF('Impact Calculations'!L91&lt;10000, ROUNDDOWN('Impact Calculations'!L91, -2), ROUNDDOWN('Impact Calculations'!L91, -3))</f>
        <v>#N/A</v>
      </c>
      <c r="L50" s="666" t="e">
        <f>IF('Impact Calculations'!M91&lt;10000, ROUNDDOWN('Impact Calculations'!M91, -2), ROUNDDOWN('Impact Calculations'!M91, -3))</f>
        <v>#N/A</v>
      </c>
      <c r="M50" s="666" t="e">
        <f>IF('Impact Calculations'!N91&lt;10000, ROUNDDOWN('Impact Calculations'!N91, -2), ROUNDDOWN('Impact Calculations'!N91, -3))</f>
        <v>#N/A</v>
      </c>
      <c r="N50" s="666" t="e">
        <f>IF('Impact Calculations'!O91&lt;10000, ROUNDDOWN('Impact Calculations'!O91, -2), ROUNDDOWN('Impact Calculations'!O91, -3))</f>
        <v>#N/A</v>
      </c>
      <c r="O50" s="666" t="e">
        <f>IF('Impact Calculations'!P91&lt;10000, ROUNDDOWN('Impact Calculations'!P91, -2), ROUNDDOWN('Impact Calculations'!P91, -3))</f>
        <v>#N/A</v>
      </c>
      <c r="P50" s="666" t="e">
        <f>IF('Impact Calculations'!Q91&lt;10000, ROUNDDOWN('Impact Calculations'!Q91, -2), ROUNDDOWN('Impact Calculations'!Q91, -3))</f>
        <v>#N/A</v>
      </c>
      <c r="Q50" s="666" t="e">
        <f>IF('Impact Calculations'!R91&lt;10000, ROUNDDOWN('Impact Calculations'!R91, -2), ROUNDDOWN('Impact Calculations'!R91, -3))</f>
        <v>#N/A</v>
      </c>
      <c r="R50" s="666" t="e">
        <f>IF('Impact Calculations'!S91&lt;10000, ROUNDDOWN('Impact Calculations'!S91, -2), ROUNDDOWN('Impact Calculations'!S91, -3))</f>
        <v>#N/A</v>
      </c>
      <c r="S50" s="666" t="e">
        <f>IF('Impact Calculations'!T91&lt;10000, ROUNDDOWN('Impact Calculations'!T91, -2), ROUNDDOWN('Impact Calculations'!T91, -3))</f>
        <v>#N/A</v>
      </c>
      <c r="T50" s="666" t="e">
        <f>IF('Impact Calculations'!U91&lt;10000, ROUNDDOWN('Impact Calculations'!U91, -2), ROUNDDOWN('Impact Calculations'!U91, -3))</f>
        <v>#N/A</v>
      </c>
      <c r="U50" s="667" t="e">
        <f>IF('Impact Calculations'!V91&lt;10000, ROUNDDOWN('Impact Calculations'!V91, -2), ROUNDDOWN('Impact Calculations'!V91, -3))</f>
        <v>#N/A</v>
      </c>
      <c r="AA50" s="42" t="s">
        <v>809</v>
      </c>
      <c r="AB50" s="251" t="s">
        <v>812</v>
      </c>
    </row>
    <row r="51" spans="2:28" s="44" customFormat="1" ht="15" customHeight="1" x14ac:dyDescent="0.3">
      <c r="B51" s="1007" t="str">
        <f>IF(Language="English", $AA51, $AB51)</f>
        <v>Number of maternal deaths averted due to modern contraceptive use</v>
      </c>
      <c r="C51" s="960"/>
      <c r="D51" s="960"/>
      <c r="E51" s="960"/>
      <c r="F51" s="960"/>
      <c r="G51" s="960"/>
      <c r="H51" s="960"/>
      <c r="I51" s="960"/>
      <c r="J51" s="960"/>
      <c r="K51" s="960"/>
      <c r="L51" s="960"/>
      <c r="M51" s="960"/>
      <c r="N51" s="960"/>
      <c r="O51" s="960"/>
      <c r="P51" s="960"/>
      <c r="Q51" s="960"/>
      <c r="R51" s="960"/>
      <c r="S51" s="960"/>
      <c r="T51" s="960"/>
      <c r="U51" s="961"/>
      <c r="W51"/>
      <c r="X51"/>
      <c r="Y51"/>
      <c r="AA51" s="435" t="s">
        <v>26</v>
      </c>
      <c r="AB51" s="436" t="s">
        <v>103</v>
      </c>
    </row>
    <row r="52" spans="2:28" ht="15" customHeight="1" x14ac:dyDescent="0.3">
      <c r="B52" s="682"/>
      <c r="C52" s="678" t="e">
        <f>IF('Impact Calculations'!D124&lt;1000,ROUNDDOWN('Impact Calculations'!D124,-1),IF('Impact Calculations'!D124&lt;10000,ROUNDDOWN('Impact Calculations'!D124,-2),ROUNDDOWN('Impact Calculations'!D124,-3)))</f>
        <v>#N/A</v>
      </c>
      <c r="D52" s="675" t="e">
        <f>IF('Impact Calculations'!E124&lt;1000,ROUNDDOWN('Impact Calculations'!E124,-1),IF('Impact Calculations'!E124&lt;10000,ROUNDDOWN('Impact Calculations'!E124,-2),ROUNDDOWN('Impact Calculations'!E124,-3)))</f>
        <v>#N/A</v>
      </c>
      <c r="E52" s="675" t="e">
        <f>IF('Impact Calculations'!F124&lt;1000,ROUNDDOWN('Impact Calculations'!F124,-1),IF('Impact Calculations'!F124&lt;10000,ROUNDDOWN('Impact Calculations'!F124,-2),ROUNDDOWN('Impact Calculations'!F124,-3)))</f>
        <v>#N/A</v>
      </c>
      <c r="F52" s="675" t="e">
        <f>IF('Impact Calculations'!G124&lt;1000,ROUNDDOWN('Impact Calculations'!G124,-1),IF('Impact Calculations'!G124&lt;10000,ROUNDDOWN('Impact Calculations'!G124,-2),ROUNDDOWN('Impact Calculations'!G124,-3)))</f>
        <v>#N/A</v>
      </c>
      <c r="G52" s="675" t="e">
        <f>IF('Impact Calculations'!H124&lt;1000,ROUNDDOWN('Impact Calculations'!H124,-1),IF('Impact Calculations'!H124&lt;10000,ROUNDDOWN('Impact Calculations'!H124,-2),ROUNDDOWN('Impact Calculations'!H124,-3)))</f>
        <v>#N/A</v>
      </c>
      <c r="H52" s="675" t="e">
        <f>IF('Impact Calculations'!I124&lt;1000,ROUNDDOWN('Impact Calculations'!I124,-1),IF('Impact Calculations'!I124&lt;10000,ROUNDDOWN('Impact Calculations'!I124,-2),ROUNDDOWN('Impact Calculations'!I124,-3)))</f>
        <v>#N/A</v>
      </c>
      <c r="I52" s="675" t="e">
        <f>IF('Impact Calculations'!J124&lt;1000,ROUNDDOWN('Impact Calculations'!J124,-1),IF('Impact Calculations'!J124&lt;10000,ROUNDDOWN('Impact Calculations'!J124,-2),ROUNDDOWN('Impact Calculations'!J124,-3)))</f>
        <v>#N/A</v>
      </c>
      <c r="J52" s="675" t="e">
        <f>IF('Impact Calculations'!K124&lt;1000,ROUNDDOWN('Impact Calculations'!K124,-1),IF('Impact Calculations'!K124&lt;10000,ROUNDDOWN('Impact Calculations'!K124,-2),ROUNDDOWN('Impact Calculations'!K124,-3)))</f>
        <v>#N/A</v>
      </c>
      <c r="K52" s="675" t="e">
        <f>IF('Impact Calculations'!L124&lt;1000,ROUNDDOWN('Impact Calculations'!L124,-1),IF('Impact Calculations'!L124&lt;10000,ROUNDDOWN('Impact Calculations'!L124,-2),ROUNDDOWN('Impact Calculations'!L124,-3)))</f>
        <v>#N/A</v>
      </c>
      <c r="L52" s="675" t="e">
        <f>IF('Impact Calculations'!M124&lt;1000,ROUNDDOWN('Impact Calculations'!M124,-1),IF('Impact Calculations'!M124&lt;10000,ROUNDDOWN('Impact Calculations'!M124,-2),ROUNDDOWN('Impact Calculations'!M124,-3)))</f>
        <v>#N/A</v>
      </c>
      <c r="M52" s="675" t="e">
        <f>IF('Impact Calculations'!N124&lt;1000,ROUNDDOWN('Impact Calculations'!N124,-1),IF('Impact Calculations'!N124&lt;10000,ROUNDDOWN('Impact Calculations'!N124,-2),ROUNDDOWN('Impact Calculations'!N124,-3)))</f>
        <v>#N/A</v>
      </c>
      <c r="N52" s="675" t="e">
        <f>IF('Impact Calculations'!O124&lt;1000,ROUNDDOWN('Impact Calculations'!O124,-1),IF('Impact Calculations'!O124&lt;10000,ROUNDDOWN('Impact Calculations'!O124,-2),ROUNDDOWN('Impact Calculations'!O124,-3)))</f>
        <v>#N/A</v>
      </c>
      <c r="O52" s="675" t="e">
        <f>IF('Impact Calculations'!P124&lt;1000,ROUNDDOWN('Impact Calculations'!P124,-1),IF('Impact Calculations'!P124&lt;10000,ROUNDDOWN('Impact Calculations'!P124,-2),ROUNDDOWN('Impact Calculations'!P124,-3)))</f>
        <v>#N/A</v>
      </c>
      <c r="P52" s="675" t="e">
        <f>IF('Impact Calculations'!Q124&lt;1000,ROUNDDOWN('Impact Calculations'!Q124,-1),IF('Impact Calculations'!Q124&lt;10000,ROUNDDOWN('Impact Calculations'!Q124,-2),ROUNDDOWN('Impact Calculations'!Q124,-3)))</f>
        <v>#N/A</v>
      </c>
      <c r="Q52" s="675" t="e">
        <f>IF('Impact Calculations'!R124&lt;1000,ROUNDDOWN('Impact Calculations'!R124,-1),IF('Impact Calculations'!R124&lt;10000,ROUNDDOWN('Impact Calculations'!R124,-2),ROUNDDOWN('Impact Calculations'!R124,-3)))</f>
        <v>#N/A</v>
      </c>
      <c r="R52" s="675" t="e">
        <f>IF('Impact Calculations'!S124&lt;1000,ROUNDDOWN('Impact Calculations'!S124,-1),IF('Impact Calculations'!S124&lt;10000,ROUNDDOWN('Impact Calculations'!S124,-2),ROUNDDOWN('Impact Calculations'!S124,-3)))</f>
        <v>#N/A</v>
      </c>
      <c r="S52" s="675" t="e">
        <f>IF('Impact Calculations'!T124&lt;1000,ROUNDDOWN('Impact Calculations'!T124,-1),IF('Impact Calculations'!T124&lt;10000,ROUNDDOWN('Impact Calculations'!T124,-2),ROUNDDOWN('Impact Calculations'!T124,-3)))</f>
        <v>#N/A</v>
      </c>
      <c r="T52" s="675" t="e">
        <f>IF('Impact Calculations'!U124&lt;1000,ROUNDDOWN('Impact Calculations'!U124,-1),IF('Impact Calculations'!U124&lt;10000,ROUNDDOWN('Impact Calculations'!U124,-2),ROUNDDOWN('Impact Calculations'!U124,-3)))</f>
        <v>#N/A</v>
      </c>
      <c r="U52" s="676" t="e">
        <f>IF('Impact Calculations'!V124&lt;1000,ROUNDDOWN('Impact Calculations'!V124,-1),IF('Impact Calculations'!V124&lt;10000,ROUNDDOWN('Impact Calculations'!V124,-2),ROUNDDOWN('Impact Calculations'!V124,-3)))</f>
        <v>#N/A</v>
      </c>
      <c r="AA52" s="42" t="s">
        <v>810</v>
      </c>
      <c r="AB52" s="251" t="s">
        <v>811</v>
      </c>
    </row>
    <row r="53" spans="2:28" ht="11.4" customHeight="1" x14ac:dyDescent="0.3">
      <c r="B53" s="44"/>
      <c r="C53" s="44"/>
      <c r="D53" s="44"/>
      <c r="E53" s="44"/>
      <c r="F53" s="44"/>
      <c r="G53" s="44"/>
      <c r="H53" s="44"/>
      <c r="I53" s="44"/>
      <c r="J53" s="44"/>
      <c r="K53" s="44"/>
      <c r="L53" s="44"/>
      <c r="M53" s="44"/>
      <c r="N53" s="44"/>
      <c r="O53" s="44"/>
      <c r="P53" s="44"/>
      <c r="Q53" s="44"/>
      <c r="R53" s="44"/>
      <c r="S53" s="44"/>
      <c r="T53" s="44"/>
      <c r="U53" s="44"/>
      <c r="AA53" s="42"/>
      <c r="AB53" s="20"/>
    </row>
    <row r="54" spans="2:28" s="44" customFormat="1" ht="15" customHeight="1" x14ac:dyDescent="0.3">
      <c r="B54" s="984" t="str">
        <f>IF(Language="English", $AA54, $AB54)</f>
        <v>Couple Years of Protection (CYPs)</v>
      </c>
      <c r="C54" s="985"/>
      <c r="D54" s="985"/>
      <c r="E54" s="985"/>
      <c r="F54" s="985"/>
      <c r="G54" s="985"/>
      <c r="H54" s="985"/>
      <c r="I54" s="985"/>
      <c r="J54" s="985"/>
      <c r="K54" s="986"/>
      <c r="L54" s="756">
        <v>2012</v>
      </c>
      <c r="M54" s="757">
        <v>2013</v>
      </c>
      <c r="N54" s="756">
        <v>2014</v>
      </c>
      <c r="O54" s="757">
        <v>2015</v>
      </c>
      <c r="P54" s="756">
        <v>2016</v>
      </c>
      <c r="Q54" s="757">
        <v>2017</v>
      </c>
      <c r="R54" s="756">
        <v>2018</v>
      </c>
      <c r="S54" s="757">
        <v>2019</v>
      </c>
      <c r="T54" s="756">
        <v>2020</v>
      </c>
      <c r="U54" s="757">
        <v>2021</v>
      </c>
      <c r="W54" s="716"/>
      <c r="X54" s="716"/>
      <c r="Y54" s="716"/>
      <c r="AA54" s="435" t="s">
        <v>1127</v>
      </c>
      <c r="AB54" s="436" t="s">
        <v>1205</v>
      </c>
    </row>
    <row r="55" spans="2:28" ht="21" customHeight="1" x14ac:dyDescent="0.3">
      <c r="B55" s="972" t="s">
        <v>8</v>
      </c>
      <c r="C55" s="973"/>
      <c r="D55" s="974" t="str">
        <f>IF('Additional Annual Indicators'!D50="", "---", 'Additional Annual Indicators'!D50)</f>
        <v>---</v>
      </c>
      <c r="E55" s="974"/>
      <c r="F55" s="974"/>
      <c r="G55" s="354"/>
      <c r="H55" s="354"/>
      <c r="I55" s="354"/>
      <c r="J55" s="354"/>
      <c r="K55" s="354"/>
      <c r="L55" s="675" t="str">
        <f>IF('Additional Annual Indicators'!D54="", "---", 'Additional Annual Indicators'!D54)</f>
        <v>---</v>
      </c>
      <c r="M55" s="675" t="str">
        <f>IF('Additional Annual Indicators'!E54="", "---", 'Additional Annual Indicators'!E54)</f>
        <v>---</v>
      </c>
      <c r="N55" s="675" t="str">
        <f>IF('Additional Annual Indicators'!F54="", "---", 'Additional Annual Indicators'!F54)</f>
        <v>---</v>
      </c>
      <c r="O55" s="675" t="str">
        <f>IF('Additional Annual Indicators'!G54="", "---", 'Additional Annual Indicators'!G54)</f>
        <v>---</v>
      </c>
      <c r="P55" s="675" t="str">
        <f>IF('Additional Annual Indicators'!H54="", "---", 'Additional Annual Indicators'!H54)</f>
        <v>---</v>
      </c>
      <c r="Q55" s="675" t="str">
        <f>IF('Additional Annual Indicators'!I54="", "---", 'Additional Annual Indicators'!I54)</f>
        <v>---</v>
      </c>
      <c r="R55" s="675" t="str">
        <f>IF('Additional Annual Indicators'!J54="", "---", 'Additional Annual Indicators'!J54)</f>
        <v>---</v>
      </c>
      <c r="S55" s="675" t="str">
        <f>IF('Additional Annual Indicators'!K54="", "---", 'Additional Annual Indicators'!K54)</f>
        <v>---</v>
      </c>
      <c r="T55" s="675" t="str">
        <f>IF('Additional Annual Indicators'!L54="", "---", 'Additional Annual Indicators'!L54)</f>
        <v>---</v>
      </c>
      <c r="U55" s="676" t="str">
        <f>IF('Additional Annual Indicators'!M54="", "---", 'Additional Annual Indicators'!M54)</f>
        <v>---</v>
      </c>
      <c r="AA55" s="42"/>
      <c r="AB55" s="20"/>
    </row>
    <row r="56" spans="2:28" ht="15" customHeight="1" x14ac:dyDescent="0.3">
      <c r="B56" s="44"/>
      <c r="C56" s="44"/>
      <c r="D56" s="664"/>
      <c r="E56" s="664"/>
      <c r="F56" s="664"/>
      <c r="G56" s="664"/>
      <c r="H56" s="664"/>
      <c r="I56" s="664"/>
      <c r="J56" s="664"/>
      <c r="K56" s="664"/>
      <c r="L56" s="664"/>
      <c r="M56" s="664"/>
      <c r="N56" s="664"/>
      <c r="O56" s="664"/>
      <c r="P56" s="664"/>
      <c r="Q56" s="664"/>
      <c r="R56" s="664"/>
      <c r="S56" s="664"/>
      <c r="T56" s="664"/>
      <c r="U56" s="664"/>
      <c r="AA56" s="42"/>
      <c r="AB56" s="251"/>
    </row>
    <row r="57" spans="2:28" s="44" customFormat="1" ht="15" customHeight="1" x14ac:dyDescent="0.3">
      <c r="B57" s="758" t="str">
        <f>IF(Language="English", $AA57, $AB57)</f>
        <v>Contraceptive Use and Availability by Method</v>
      </c>
      <c r="C57" s="758"/>
      <c r="D57" s="758"/>
      <c r="E57" s="758"/>
      <c r="F57" s="758"/>
      <c r="G57" s="758"/>
      <c r="H57" s="758"/>
      <c r="I57" s="758"/>
      <c r="J57" s="758"/>
      <c r="K57" s="758"/>
      <c r="L57" s="758"/>
      <c r="M57" s="758"/>
      <c r="N57" s="758"/>
      <c r="O57" s="758"/>
      <c r="P57" s="758"/>
      <c r="Q57" s="758"/>
      <c r="R57" s="758"/>
      <c r="S57" s="758"/>
      <c r="T57" s="758"/>
      <c r="U57" s="758"/>
      <c r="V57" s="685"/>
      <c r="W57" s="716"/>
      <c r="X57" s="716"/>
      <c r="Y57" s="716"/>
      <c r="AA57" s="435" t="s">
        <v>1230</v>
      </c>
      <c r="AB57" s="44" t="s">
        <v>1229</v>
      </c>
    </row>
    <row r="58" spans="2:28" customFormat="1" ht="9" customHeight="1" x14ac:dyDescent="0.3">
      <c r="B58" s="44"/>
      <c r="C58" s="44"/>
      <c r="D58" s="44"/>
      <c r="E58" s="44"/>
      <c r="F58" s="44"/>
      <c r="G58" s="44"/>
      <c r="H58" s="44"/>
      <c r="I58" s="44"/>
      <c r="J58" s="44"/>
      <c r="K58" s="44"/>
      <c r="L58" s="44"/>
      <c r="M58" s="44"/>
      <c r="N58" s="44"/>
      <c r="O58" s="44"/>
      <c r="P58" s="44"/>
      <c r="Q58" s="44"/>
      <c r="R58" s="44"/>
      <c r="S58" s="44"/>
      <c r="T58" s="44"/>
      <c r="U58" s="44"/>
    </row>
    <row r="59" spans="2:28" s="44" customFormat="1" ht="20.399999999999999" customHeight="1" x14ac:dyDescent="0.3">
      <c r="B59" s="965" t="str">
        <f>IF(Language=English, AA59, AB59)</f>
        <v>Percentage of women using each modern method of contraception</v>
      </c>
      <c r="C59" s="966"/>
      <c r="D59" s="966"/>
      <c r="E59" s="966"/>
      <c r="F59" s="966"/>
      <c r="G59" s="966"/>
      <c r="H59" s="967"/>
      <c r="J59" s="965" t="str">
        <f>IF(Language=English, AA63, AB63)</f>
        <v>Percentage of facilities stocked out, by method offered, on the day of assessment  </v>
      </c>
      <c r="K59" s="966"/>
      <c r="L59" s="966"/>
      <c r="M59" s="966"/>
      <c r="N59" s="966"/>
      <c r="O59" s="966"/>
      <c r="P59" s="967"/>
      <c r="Q59" s="770"/>
      <c r="R59" s="987" t="str">
        <f>IF(Language=English, AA64, AB64)</f>
        <v>Percentage of SDPs with 3 or 5 Modern Methods of Contraception Available</v>
      </c>
      <c r="S59" s="988"/>
      <c r="T59" s="988"/>
      <c r="U59" s="989"/>
      <c r="W59"/>
      <c r="X59"/>
      <c r="Y59"/>
      <c r="AA59" s="257" t="s">
        <v>571</v>
      </c>
      <c r="AB59" s="251" t="s">
        <v>926</v>
      </c>
    </row>
    <row r="60" spans="2:28" s="408" customFormat="1" ht="20.399999999999999" customHeight="1" x14ac:dyDescent="0.3">
      <c r="B60" s="968"/>
      <c r="C60" s="969"/>
      <c r="D60" s="969"/>
      <c r="E60" s="969"/>
      <c r="F60" s="969"/>
      <c r="G60" s="969"/>
      <c r="H60" s="970"/>
      <c r="I60" s="595"/>
      <c r="J60" s="968"/>
      <c r="K60" s="969"/>
      <c r="L60" s="969"/>
      <c r="M60" s="969"/>
      <c r="N60" s="969"/>
      <c r="O60" s="969"/>
      <c r="P60" s="970"/>
      <c r="R60" s="990"/>
      <c r="S60" s="991"/>
      <c r="T60" s="991"/>
      <c r="U60" s="992"/>
      <c r="W60"/>
      <c r="X60"/>
      <c r="Y60"/>
      <c r="AA60" s="674" t="s">
        <v>922</v>
      </c>
      <c r="AB60" s="679" t="s">
        <v>923</v>
      </c>
    </row>
    <row r="61" spans="2:28" s="44" customFormat="1" ht="21" customHeight="1" x14ac:dyDescent="0.3">
      <c r="B61" s="680"/>
      <c r="C61" s="955" t="str">
        <f>IF(Language=English, AA61, AB61)</f>
        <v>Long-Acting and Permanent Methods</v>
      </c>
      <c r="D61" s="955" t="str">
        <f>'Assumption Review'!D65</f>
        <v>Female sterilization</v>
      </c>
      <c r="E61" s="955"/>
      <c r="F61" s="752" t="e">
        <f>VLOOKUP(D61, 'Assumption Review'!$D$65:$E$75, 2, FALSE)/'Assumption Review'!$E$76</f>
        <v>#N/A</v>
      </c>
      <c r="G61" s="980" t="s">
        <v>8</v>
      </c>
      <c r="H61" s="981"/>
      <c r="J61" s="680"/>
      <c r="K61" s="955" t="str">
        <f>C61</f>
        <v>Long-Acting and Permanent Methods</v>
      </c>
      <c r="L61" s="955" t="str">
        <f>'Additional Annual Indicators'!C13</f>
        <v>Female sterilization</v>
      </c>
      <c r="M61" s="955"/>
      <c r="N61" s="752" t="str">
        <f>IF(VLOOKUP(L61, 'Additional Annual Indicators'!$C$13:$E$22, 3, FALSE)="", "---", VLOOKUP(L61, 'Additional Annual Indicators'!$C$13:$E$22, 3, FALSE))</f>
        <v>---</v>
      </c>
      <c r="O61" s="980" t="s">
        <v>8</v>
      </c>
      <c r="P61" s="981"/>
      <c r="R61" s="993" t="str">
        <f>IF(Language=English, AA65, AB65)</f>
        <v>% of Primary SDPs with at least 3 methods available on the day of assessment</v>
      </c>
      <c r="S61" s="994"/>
      <c r="T61" s="997" t="str">
        <f>IF('Additional Annual Indicators'!D32="", "---", 'Additional Annual Indicators'!D32)</f>
        <v>---</v>
      </c>
      <c r="U61" s="998"/>
      <c r="W61"/>
      <c r="X61"/>
      <c r="Y61"/>
      <c r="AA61" s="435" t="s">
        <v>506</v>
      </c>
      <c r="AB61" s="436" t="s">
        <v>699</v>
      </c>
    </row>
    <row r="62" spans="2:28" s="44" customFormat="1" ht="21" customHeight="1" x14ac:dyDescent="0.3">
      <c r="B62" s="680"/>
      <c r="C62" s="971"/>
      <c r="D62" s="971" t="str">
        <f>'Assumption Review'!D66</f>
        <v>Male sterilization</v>
      </c>
      <c r="E62" s="971"/>
      <c r="F62" s="753" t="e">
        <f>VLOOKUP(D62, 'Assumption Review'!$D$65:$E$75, 2, FALSE)/'Assumption Review'!$E$76</f>
        <v>#N/A</v>
      </c>
      <c r="G62" s="982" t="e">
        <f>'Assumption Review'!E78</f>
        <v>#N/A</v>
      </c>
      <c r="H62" s="983"/>
      <c r="J62" s="680"/>
      <c r="K62" s="971"/>
      <c r="L62" s="955" t="str">
        <f>'Additional Annual Indicators'!C14</f>
        <v>Male sterilization</v>
      </c>
      <c r="M62" s="955"/>
      <c r="N62" s="753" t="str">
        <f>IF(VLOOKUP(L62, 'Additional Annual Indicators'!$C$13:$E$22, 3, FALSE)="", "---", VLOOKUP(L62, 'Additional Annual Indicators'!$C$13:$E$22, 3, FALSE))</f>
        <v>---</v>
      </c>
      <c r="O62" s="982" t="str">
        <f>IF('Additional Annual Indicators'!D9="", "---", 'Additional Annual Indicators'!D9)</f>
        <v>---</v>
      </c>
      <c r="P62" s="983"/>
      <c r="R62" s="995"/>
      <c r="S62" s="996"/>
      <c r="T62" s="999"/>
      <c r="U62" s="1000"/>
      <c r="W62"/>
      <c r="X62"/>
      <c r="Y62"/>
      <c r="AA62" s="42" t="s">
        <v>507</v>
      </c>
      <c r="AB62" s="20" t="s">
        <v>700</v>
      </c>
    </row>
    <row r="63" spans="2:28" s="44" customFormat="1" ht="21" customHeight="1" x14ac:dyDescent="0.3">
      <c r="B63" s="680"/>
      <c r="C63" s="971"/>
      <c r="D63" s="971" t="str">
        <f>'Assumption Review'!D67</f>
        <v>IUD</v>
      </c>
      <c r="E63" s="971"/>
      <c r="F63" s="753" t="e">
        <f>VLOOKUP(D63, 'Assumption Review'!$D$65:$E$75, 2, FALSE)/'Assumption Review'!$E$76</f>
        <v>#N/A</v>
      </c>
      <c r="G63" s="683"/>
      <c r="H63" s="751"/>
      <c r="J63" s="680"/>
      <c r="K63" s="971"/>
      <c r="L63" s="955" t="str">
        <f>'Additional Annual Indicators'!C15</f>
        <v>IUD</v>
      </c>
      <c r="M63" s="955"/>
      <c r="N63" s="753" t="str">
        <f>IF(VLOOKUP(L63, 'Additional Annual Indicators'!$C$13:$E$22, 3, FALSE)="", "---", VLOOKUP(L63, 'Additional Annual Indicators'!$C$13:$E$22, 3, FALSE))</f>
        <v>---</v>
      </c>
      <c r="O63" s="683"/>
      <c r="P63" s="751"/>
      <c r="Q63" s="683"/>
      <c r="R63" s="995"/>
      <c r="S63" s="996"/>
      <c r="T63" s="999"/>
      <c r="U63" s="1000"/>
      <c r="W63"/>
      <c r="X63"/>
      <c r="Y63"/>
      <c r="AA63" s="435" t="s">
        <v>1211</v>
      </c>
      <c r="AB63" s="436" t="s">
        <v>1203</v>
      </c>
    </row>
    <row r="64" spans="2:28" ht="21" customHeight="1" x14ac:dyDescent="0.3">
      <c r="B64" s="680"/>
      <c r="C64" s="971"/>
      <c r="D64" s="971" t="str">
        <f>'Assumption Review'!D68</f>
        <v>Implants</v>
      </c>
      <c r="E64" s="971"/>
      <c r="F64" s="753" t="e">
        <f>VLOOKUP(D64, 'Assumption Review'!$D$65:$E$75, 2, FALSE)/'Assumption Review'!$E$76</f>
        <v>#N/A</v>
      </c>
      <c r="G64" s="956" t="s">
        <v>617</v>
      </c>
      <c r="H64" s="957"/>
      <c r="I64" s="44"/>
      <c r="J64" s="680"/>
      <c r="K64" s="971"/>
      <c r="L64" s="955" t="str">
        <f>'Additional Annual Indicators'!C16</f>
        <v>Implants</v>
      </c>
      <c r="M64" s="955"/>
      <c r="N64" s="753" t="str">
        <f>IF(VLOOKUP(L64, 'Additional Annual Indicators'!$C$13:$E$22, 3, FALSE)="", "---", VLOOKUP(L64, 'Additional Annual Indicators'!$C$13:$E$22, 3, FALSE))</f>
        <v>---</v>
      </c>
      <c r="O64" s="956" t="str">
        <f>IF(Language=English, "Year", "Année")</f>
        <v>Year</v>
      </c>
      <c r="P64" s="957"/>
      <c r="Q64" s="683"/>
      <c r="R64" s="995"/>
      <c r="S64" s="996"/>
      <c r="T64" s="1001"/>
      <c r="U64" s="1002"/>
      <c r="AA64" s="42" t="s">
        <v>1124</v>
      </c>
      <c r="AB64" t="s">
        <v>1212</v>
      </c>
    </row>
    <row r="65" spans="2:28" ht="21" customHeight="1" x14ac:dyDescent="0.3">
      <c r="B65" s="680"/>
      <c r="C65" s="971" t="str">
        <f>IF(Language=English, AA62, AB62)</f>
        <v>Short-Term Methods</v>
      </c>
      <c r="D65" s="971" t="str">
        <f>'Assumption Review'!D69</f>
        <v>Injections</v>
      </c>
      <c r="E65" s="971"/>
      <c r="F65" s="753" t="e">
        <f>VLOOKUP(D65, 'Assumption Review'!$D$65:$E$75, 2, FALSE)/'Assumption Review'!$E$76</f>
        <v>#N/A</v>
      </c>
      <c r="G65" s="1005" t="e">
        <f>'Assumption Review'!E61</f>
        <v>#N/A</v>
      </c>
      <c r="H65" s="1006"/>
      <c r="I65" s="44"/>
      <c r="J65" s="680"/>
      <c r="K65" s="971" t="str">
        <f>C65</f>
        <v>Short-Term Methods</v>
      </c>
      <c r="L65" s="955" t="str">
        <f>'Additional Annual Indicators'!C17</f>
        <v>Injections</v>
      </c>
      <c r="M65" s="955"/>
      <c r="N65" s="753" t="str">
        <f>IF(VLOOKUP(L65, 'Additional Annual Indicators'!$C$13:$E$22, 3, FALSE)="", "---", VLOOKUP(L65, 'Additional Annual Indicators'!$C$13:$E$22, 3, FALSE))</f>
        <v>---</v>
      </c>
      <c r="O65" s="1005" t="str">
        <f>IF('Additional Annual Indicators'!D10="", "---", 'Additional Annual Indicators'!D10)</f>
        <v>---</v>
      </c>
      <c r="P65" s="1006"/>
      <c r="Q65" s="44"/>
      <c r="R65" s="1013" t="str">
        <f>IF(Language=English, AA66, AB66)</f>
        <v>% of Secondary/Tertiary SDPs with at least 5 methods available on the day of assessment</v>
      </c>
      <c r="S65" s="1014"/>
      <c r="T65" s="1019" t="str">
        <f>IF('Additional Annual Indicators'!D42="", "---", 'Additional Annual Indicators'!D42)</f>
        <v>---</v>
      </c>
      <c r="U65" s="1020"/>
      <c r="AA65" s="42" t="s">
        <v>1125</v>
      </c>
      <c r="AB65" s="734" t="s">
        <v>1213</v>
      </c>
    </row>
    <row r="66" spans="2:28" ht="21" customHeight="1" x14ac:dyDescent="0.3">
      <c r="B66" s="680"/>
      <c r="C66" s="971"/>
      <c r="D66" s="971" t="str">
        <f>'Assumption Review'!D70</f>
        <v>Pill</v>
      </c>
      <c r="E66" s="971"/>
      <c r="F66" s="753" t="e">
        <f>VLOOKUP(D66, 'Assumption Review'!$D$65:$E$75, 2, FALSE)/'Assumption Review'!$E$76</f>
        <v>#N/A</v>
      </c>
      <c r="G66" s="683"/>
      <c r="H66" s="751"/>
      <c r="I66" s="44"/>
      <c r="J66" s="680"/>
      <c r="K66" s="971"/>
      <c r="L66" s="955" t="str">
        <f>'Additional Annual Indicators'!C18</f>
        <v>Pill</v>
      </c>
      <c r="M66" s="955"/>
      <c r="N66" s="753" t="str">
        <f>IF(VLOOKUP(L66, 'Additional Annual Indicators'!$C$13:$E$22, 3, FALSE)="", "---", VLOOKUP(L66, 'Additional Annual Indicators'!$C$13:$E$22, 3, FALSE))</f>
        <v>---</v>
      </c>
      <c r="O66" s="683"/>
      <c r="P66" s="751"/>
      <c r="Q66" s="44"/>
      <c r="R66" s="1015"/>
      <c r="S66" s="1016"/>
      <c r="T66" s="999"/>
      <c r="U66" s="1000"/>
      <c r="AA66" s="13" t="s">
        <v>1126</v>
      </c>
      <c r="AB66" s="716" t="s">
        <v>1214</v>
      </c>
    </row>
    <row r="67" spans="2:28" ht="21" customHeight="1" x14ac:dyDescent="0.3">
      <c r="B67" s="680"/>
      <c r="C67" s="971"/>
      <c r="D67" s="971" t="str">
        <f>'Assumption Review'!D71</f>
        <v>Male Condom</v>
      </c>
      <c r="E67" s="971"/>
      <c r="F67" s="753" t="e">
        <f>VLOOKUP(D67, 'Assumption Review'!$D$65:$E$75, 2, FALSE)/'Assumption Review'!$E$76</f>
        <v>#N/A</v>
      </c>
      <c r="G67" s="683"/>
      <c r="H67" s="751"/>
      <c r="I67" s="44"/>
      <c r="J67" s="680"/>
      <c r="K67" s="971"/>
      <c r="L67" s="955" t="str">
        <f>'Additional Annual Indicators'!C19</f>
        <v>Male Condom</v>
      </c>
      <c r="M67" s="955"/>
      <c r="N67" s="753" t="str">
        <f>IF(VLOOKUP(L67, 'Additional Annual Indicators'!$C$13:$E$22, 3, FALSE)="", "---", VLOOKUP(L67, 'Additional Annual Indicators'!$C$13:$E$22, 3, FALSE))</f>
        <v>---</v>
      </c>
      <c r="O67" s="683"/>
      <c r="P67" s="751"/>
      <c r="Q67" s="44"/>
      <c r="R67" s="1015"/>
      <c r="S67" s="1016"/>
      <c r="T67" s="999"/>
      <c r="U67" s="1000"/>
    </row>
    <row r="68" spans="2:28" ht="21" customHeight="1" x14ac:dyDescent="0.3">
      <c r="B68" s="680"/>
      <c r="C68" s="971"/>
      <c r="D68" s="971" t="str">
        <f>'Assumption Review'!D72</f>
        <v>Female Condom</v>
      </c>
      <c r="E68" s="971"/>
      <c r="F68" s="753" t="e">
        <f>VLOOKUP(D68, 'Assumption Review'!$D$65:$E$75, 2, FALSE)/'Assumption Review'!$E$76</f>
        <v>#N/A</v>
      </c>
      <c r="G68" s="683"/>
      <c r="H68" s="751"/>
      <c r="I68" s="44"/>
      <c r="J68" s="680"/>
      <c r="K68" s="971"/>
      <c r="L68" s="955" t="str">
        <f>'Additional Annual Indicators'!C20</f>
        <v>Female Condom</v>
      </c>
      <c r="M68" s="955"/>
      <c r="N68" s="753" t="str">
        <f>IF(VLOOKUP(L68, 'Additional Annual Indicators'!$C$13:$E$22, 3, FALSE)="", "---", VLOOKUP(L68, 'Additional Annual Indicators'!$C$13:$E$22, 3, FALSE))</f>
        <v>---</v>
      </c>
      <c r="O68" s="683"/>
      <c r="P68" s="751"/>
      <c r="Q68" s="44"/>
      <c r="R68" s="1015"/>
      <c r="S68" s="1016"/>
      <c r="T68" s="999"/>
      <c r="U68" s="1000"/>
    </row>
    <row r="69" spans="2:28" ht="21" customHeight="1" x14ac:dyDescent="0.3">
      <c r="B69" s="680"/>
      <c r="C69" s="971"/>
      <c r="D69" s="971" t="str">
        <f>'Assumption Review'!D73</f>
        <v>LAM</v>
      </c>
      <c r="E69" s="971"/>
      <c r="F69" s="753" t="e">
        <f>VLOOKUP(D69, 'Assumption Review'!$D$65:$E$75, 2, FALSE)/'Assumption Review'!$E$76</f>
        <v>#N/A</v>
      </c>
      <c r="G69" s="683"/>
      <c r="H69" s="751"/>
      <c r="I69" s="44"/>
      <c r="J69" s="680"/>
      <c r="K69" s="971"/>
      <c r="L69" s="955" t="str">
        <f>'Additional Annual Indicators'!C21</f>
        <v>Emergency Contraception</v>
      </c>
      <c r="M69" s="955"/>
      <c r="N69" s="753" t="str">
        <f>IF(VLOOKUP(L69, 'Additional Annual Indicators'!$C$13:$E$22, 3, FALSE)="", "---", VLOOKUP(L69, 'Additional Annual Indicators'!$C$13:$E$22, 3, FALSE))</f>
        <v>---</v>
      </c>
      <c r="O69" s="683"/>
      <c r="P69" s="751"/>
      <c r="Q69" s="44"/>
      <c r="R69" s="1017"/>
      <c r="S69" s="1018"/>
      <c r="T69" s="1001"/>
      <c r="U69" s="1002"/>
      <c r="AA69" s="42"/>
      <c r="AB69" s="20"/>
    </row>
    <row r="70" spans="2:28" s="716" customFormat="1" ht="21" customHeight="1" x14ac:dyDescent="0.3">
      <c r="B70" s="680"/>
      <c r="C70" s="979"/>
      <c r="D70" s="971" t="str">
        <f>'Assumption Review'!D74</f>
        <v>Standard Days Method</v>
      </c>
      <c r="E70" s="971"/>
      <c r="F70" s="811" t="e">
        <f>VLOOKUP(D70, 'Assumption Review'!$D$65:$E$75, 2, FALSE)/'Assumption Review'!$E$76</f>
        <v>#N/A</v>
      </c>
      <c r="G70" s="683"/>
      <c r="H70" s="751"/>
      <c r="I70" s="44"/>
      <c r="J70" s="680"/>
      <c r="K70" s="979"/>
      <c r="L70" s="955" t="str">
        <f>'Additional Annual Indicators'!C22</f>
        <v>Other modern methods</v>
      </c>
      <c r="M70" s="955"/>
      <c r="N70" s="753" t="str">
        <f>IF(VLOOKUP(L70, 'Additional Annual Indicators'!$C$13:$E$22, 3, FALSE)="", "---", VLOOKUP(L70, 'Additional Annual Indicators'!$C$13:$E$22, 3, FALSE))</f>
        <v>---</v>
      </c>
      <c r="O70" s="683"/>
      <c r="P70" s="751"/>
      <c r="Q70" s="44"/>
      <c r="R70" s="1003" t="s">
        <v>8</v>
      </c>
      <c r="S70" s="1004"/>
      <c r="T70" s="1004" t="str">
        <f>IF(Language=English, "Year", "Année")</f>
        <v>Year</v>
      </c>
      <c r="U70" s="1010"/>
      <c r="AA70" s="42"/>
      <c r="AB70" s="810"/>
    </row>
    <row r="71" spans="2:28" ht="21" customHeight="1" x14ac:dyDescent="0.3">
      <c r="B71" s="682"/>
      <c r="C71" s="978"/>
      <c r="D71" s="978" t="str">
        <f>'Assumption Review'!D75</f>
        <v>Other modern methods</v>
      </c>
      <c r="E71" s="978"/>
      <c r="F71" s="754" t="e">
        <f>VLOOKUP(D71, 'Assumption Review'!$D$65:$E$75, 2, FALSE)/'Assumption Review'!$E$76</f>
        <v>#N/A</v>
      </c>
      <c r="G71" s="354"/>
      <c r="H71" s="771"/>
      <c r="I71" s="44"/>
      <c r="J71" s="682"/>
      <c r="K71" s="978"/>
      <c r="L71" s="1012"/>
      <c r="M71" s="1012"/>
      <c r="N71" s="754"/>
      <c r="O71" s="354"/>
      <c r="P71" s="771"/>
      <c r="Q71" s="44"/>
      <c r="R71" s="1008" t="str">
        <f>IF('Additional Annual Indicators'!D29="", "---", 'Additional Annual Indicators'!D29)</f>
        <v>---</v>
      </c>
      <c r="S71" s="1009"/>
      <c r="T71" s="974" t="str">
        <f>IF('Additional Annual Indicators'!D10="", "---", 'Additional Annual Indicators'!D10)</f>
        <v>---</v>
      </c>
      <c r="U71" s="1011"/>
      <c r="AA71" s="42"/>
      <c r="AB71" s="20"/>
    </row>
    <row r="72" spans="2:28" s="716" customFormat="1" ht="9" customHeight="1" x14ac:dyDescent="0.3">
      <c r="B72" s="44"/>
      <c r="C72" s="44"/>
      <c r="D72" s="44"/>
      <c r="E72" s="44"/>
      <c r="F72" s="44"/>
      <c r="G72" s="44"/>
      <c r="H72" s="44"/>
      <c r="I72" s="44"/>
      <c r="J72" s="44"/>
      <c r="K72" s="44"/>
      <c r="L72" s="118"/>
      <c r="M72" s="118"/>
      <c r="N72" s="118"/>
      <c r="O72" s="118"/>
      <c r="P72" s="118"/>
      <c r="Q72" s="118"/>
      <c r="R72" s="118"/>
      <c r="S72" s="118"/>
      <c r="T72" s="118"/>
      <c r="U72" s="118"/>
      <c r="AA72" s="42"/>
      <c r="AB72" s="729"/>
    </row>
    <row r="73" spans="2:28" s="44" customFormat="1" ht="15" customHeight="1" x14ac:dyDescent="0.3">
      <c r="B73" s="758" t="str">
        <f>IF(Language="English", $AA73, $AB73)</f>
        <v>Investment in Family Planning</v>
      </c>
      <c r="C73" s="758"/>
      <c r="D73" s="758"/>
      <c r="E73" s="758"/>
      <c r="F73" s="758"/>
      <c r="G73" s="758"/>
      <c r="H73" s="758"/>
      <c r="I73" s="758"/>
      <c r="J73" s="758"/>
      <c r="K73" s="758"/>
      <c r="L73" s="758"/>
      <c r="M73" s="758"/>
      <c r="N73" s="758"/>
      <c r="O73" s="758"/>
      <c r="P73" s="758"/>
      <c r="Q73" s="758"/>
      <c r="R73" s="758"/>
      <c r="S73" s="758"/>
      <c r="T73" s="758"/>
      <c r="U73" s="758"/>
      <c r="V73" s="685"/>
      <c r="W73" s="716"/>
      <c r="X73" s="716"/>
      <c r="Y73" s="716"/>
      <c r="AA73" s="435" t="s">
        <v>1231</v>
      </c>
      <c r="AB73" s="44" t="s">
        <v>1232</v>
      </c>
    </row>
    <row r="74" spans="2:28" s="716" customFormat="1" ht="9" customHeight="1" x14ac:dyDescent="0.3">
      <c r="B74" s="44"/>
      <c r="C74" s="44"/>
      <c r="D74" s="44"/>
      <c r="E74" s="44"/>
      <c r="F74" s="44"/>
      <c r="G74" s="44"/>
      <c r="H74" s="44"/>
      <c r="I74" s="44"/>
      <c r="J74" s="44"/>
      <c r="K74" s="44"/>
      <c r="L74" s="44"/>
      <c r="M74" s="44"/>
      <c r="N74" s="44"/>
      <c r="O74" s="44"/>
      <c r="P74" s="44"/>
      <c r="Q74" s="44"/>
      <c r="R74" s="44"/>
      <c r="S74" s="44"/>
      <c r="T74" s="44"/>
      <c r="U74" s="44"/>
    </row>
    <row r="75" spans="2:28" s="44" customFormat="1" ht="15" customHeight="1" x14ac:dyDescent="0.3">
      <c r="B75" s="984" t="str">
        <f>IF(Language="English", $AA75, $AB75)</f>
        <v>Annual expenditure on family planning from government domestic budget</v>
      </c>
      <c r="C75" s="985"/>
      <c r="D75" s="985"/>
      <c r="E75" s="985"/>
      <c r="F75" s="985"/>
      <c r="G75" s="985"/>
      <c r="H75" s="985"/>
      <c r="I75" s="985"/>
      <c r="J75" s="985"/>
      <c r="K75" s="986"/>
      <c r="L75" s="756">
        <v>2012</v>
      </c>
      <c r="M75" s="757">
        <v>2013</v>
      </c>
      <c r="N75" s="756">
        <v>2014</v>
      </c>
      <c r="O75" s="757">
        <v>2015</v>
      </c>
      <c r="P75" s="756">
        <v>2016</v>
      </c>
      <c r="Q75" s="757">
        <v>2017</v>
      </c>
      <c r="R75" s="756">
        <v>2018</v>
      </c>
      <c r="S75" s="757">
        <v>2019</v>
      </c>
      <c r="T75" s="756">
        <v>2020</v>
      </c>
      <c r="U75" s="757">
        <v>2021</v>
      </c>
      <c r="W75" s="716"/>
      <c r="X75" s="716"/>
      <c r="Y75" s="716"/>
      <c r="AA75" s="435" t="s">
        <v>1128</v>
      </c>
      <c r="AB75" s="436" t="s">
        <v>1170</v>
      </c>
    </row>
    <row r="76" spans="2:28" ht="21" customHeight="1" x14ac:dyDescent="0.3">
      <c r="B76" s="972" t="s">
        <v>8</v>
      </c>
      <c r="C76" s="973"/>
      <c r="D76" s="974" t="str">
        <f>IF('Additional Annual Indicators'!D61="", "---", 'Additional Annual Indicators'!D61)</f>
        <v>---</v>
      </c>
      <c r="E76" s="974"/>
      <c r="F76" s="974"/>
      <c r="G76" s="755" t="s">
        <v>1117</v>
      </c>
      <c r="H76" s="974" t="str">
        <f>IF('Additional Annual Indicators'!D61="", "---", 'Additional Annual Indicators'!D62)</f>
        <v>---</v>
      </c>
      <c r="I76" s="974"/>
      <c r="J76" s="974"/>
      <c r="K76" s="354"/>
      <c r="L76" s="675" t="str">
        <f>IF('Additional Annual Indicators'!D65="", "---", 'Additional Annual Indicators'!D65)</f>
        <v>---</v>
      </c>
      <c r="M76" s="675" t="str">
        <f>IF('Additional Annual Indicators'!E65="", "---", 'Additional Annual Indicators'!E65)</f>
        <v>---</v>
      </c>
      <c r="N76" s="675" t="str">
        <f>IF('Additional Annual Indicators'!F65="", "---", 'Additional Annual Indicators'!F65)</f>
        <v>---</v>
      </c>
      <c r="O76" s="675" t="str">
        <f>IF('Additional Annual Indicators'!G65="", "---", 'Additional Annual Indicators'!G65)</f>
        <v>---</v>
      </c>
      <c r="P76" s="675" t="str">
        <f>IF('Additional Annual Indicators'!H65="", "---", 'Additional Annual Indicators'!H65)</f>
        <v>---</v>
      </c>
      <c r="Q76" s="675" t="str">
        <f>IF('Additional Annual Indicators'!I65="", "---", 'Additional Annual Indicators'!I65)</f>
        <v>---</v>
      </c>
      <c r="R76" s="675" t="str">
        <f>IF('Additional Annual Indicators'!J65="", "---", 'Additional Annual Indicators'!J65)</f>
        <v>---</v>
      </c>
      <c r="S76" s="675" t="str">
        <f>IF('Additional Annual Indicators'!K65="", "---", 'Additional Annual Indicators'!K65)</f>
        <v>---</v>
      </c>
      <c r="T76" s="675" t="str">
        <f>IF('Additional Annual Indicators'!L65="", "---", 'Additional Annual Indicators'!L65)</f>
        <v>---</v>
      </c>
      <c r="U76" s="676" t="str">
        <f>IF('Additional Annual Indicators'!M65="", "---", 'Additional Annual Indicators'!M65)</f>
        <v>---</v>
      </c>
      <c r="AA76" s="42"/>
      <c r="AB76" s="20"/>
    </row>
    <row r="77" spans="2:28" x14ac:dyDescent="0.3">
      <c r="B77" s="977" t="str">
        <f>IF(Language="English", $AA77, $AB77)</f>
        <v>"---" indicates no data is available</v>
      </c>
      <c r="C77" s="977"/>
      <c r="D77" s="977"/>
      <c r="E77" s="977"/>
      <c r="F77" s="977"/>
      <c r="G77" s="977"/>
      <c r="H77" s="977"/>
      <c r="I77" s="977"/>
      <c r="J77" s="977"/>
      <c r="K77" s="977"/>
      <c r="AA77" s="42" t="s">
        <v>1216</v>
      </c>
      <c r="AB77" s="734" t="s">
        <v>1215</v>
      </c>
    </row>
    <row r="78" spans="2:28" x14ac:dyDescent="0.3">
      <c r="F78" s="25"/>
      <c r="AA78" s="42"/>
      <c r="AB78" s="20"/>
    </row>
    <row r="79" spans="2:28" ht="29.25" customHeight="1" x14ac:dyDescent="0.3">
      <c r="G79"/>
      <c r="H79"/>
      <c r="I79"/>
      <c r="J79"/>
      <c r="K79"/>
      <c r="L79"/>
      <c r="M79"/>
      <c r="N79"/>
      <c r="AA79" s="42"/>
      <c r="AB79" s="20"/>
    </row>
    <row r="80" spans="2:28" x14ac:dyDescent="0.3">
      <c r="G80"/>
      <c r="H80"/>
      <c r="I80"/>
      <c r="J80"/>
      <c r="K80"/>
      <c r="L80"/>
      <c r="M80"/>
      <c r="N80"/>
      <c r="O80" s="53"/>
      <c r="P80" s="53"/>
      <c r="Q80" s="53"/>
      <c r="R80" s="53"/>
      <c r="S80" s="53"/>
      <c r="T80" s="53"/>
      <c r="U80" s="53"/>
      <c r="AA80" s="42"/>
      <c r="AB80" s="20"/>
    </row>
    <row r="81" spans="7:28" hidden="1" x14ac:dyDescent="0.3">
      <c r="G81"/>
      <c r="H81"/>
      <c r="I81"/>
      <c r="J81"/>
      <c r="K81"/>
      <c r="L81"/>
      <c r="M81"/>
      <c r="N81"/>
      <c r="AA81" s="42"/>
      <c r="AB81" s="20"/>
    </row>
    <row r="82" spans="7:28" hidden="1" x14ac:dyDescent="0.3">
      <c r="G82"/>
      <c r="H82"/>
      <c r="I82"/>
      <c r="J82"/>
      <c r="K82"/>
      <c r="L82"/>
      <c r="M82"/>
      <c r="N82"/>
      <c r="AA82" s="42"/>
      <c r="AB82" s="20"/>
    </row>
    <row r="83" spans="7:28" hidden="1" x14ac:dyDescent="0.3">
      <c r="G83"/>
      <c r="H83"/>
      <c r="I83"/>
      <c r="J83"/>
      <c r="K83"/>
      <c r="L83"/>
      <c r="M83"/>
      <c r="N83"/>
      <c r="AA83" s="42"/>
      <c r="AB83" s="20"/>
    </row>
    <row r="84" spans="7:28" hidden="1" x14ac:dyDescent="0.3">
      <c r="G84"/>
      <c r="H84"/>
      <c r="I84"/>
      <c r="J84"/>
      <c r="K84"/>
      <c r="L84"/>
      <c r="M84"/>
      <c r="N84"/>
      <c r="AA84" s="42"/>
      <c r="AB84" s="20"/>
    </row>
    <row r="85" spans="7:28" hidden="1" x14ac:dyDescent="0.3">
      <c r="G85"/>
      <c r="H85"/>
      <c r="I85"/>
      <c r="J85"/>
      <c r="K85"/>
      <c r="L85"/>
      <c r="M85"/>
      <c r="N85"/>
      <c r="AA85" s="42"/>
      <c r="AB85" s="20"/>
    </row>
    <row r="86" spans="7:28" hidden="1" x14ac:dyDescent="0.3">
      <c r="G86"/>
      <c r="H86"/>
      <c r="I86"/>
      <c r="J86"/>
      <c r="K86"/>
      <c r="L86"/>
      <c r="M86"/>
      <c r="N86"/>
      <c r="AA86" s="42"/>
      <c r="AB86" s="20"/>
    </row>
    <row r="87" spans="7:28" hidden="1" x14ac:dyDescent="0.3">
      <c r="G87"/>
      <c r="H87"/>
      <c r="I87"/>
      <c r="J87"/>
      <c r="K87"/>
      <c r="L87"/>
      <c r="M87"/>
      <c r="N87"/>
      <c r="AA87" s="42"/>
      <c r="AB87" s="20"/>
    </row>
    <row r="88" spans="7:28" hidden="1" x14ac:dyDescent="0.3">
      <c r="G88"/>
      <c r="H88"/>
      <c r="I88"/>
      <c r="J88"/>
      <c r="K88"/>
      <c r="L88"/>
      <c r="M88"/>
      <c r="N88"/>
      <c r="AA88" s="42"/>
      <c r="AB88" s="20"/>
    </row>
    <row r="89" spans="7:28" hidden="1" x14ac:dyDescent="0.3">
      <c r="G89"/>
      <c r="H89"/>
      <c r="I89"/>
      <c r="J89"/>
      <c r="K89"/>
      <c r="L89"/>
      <c r="M89"/>
      <c r="N89"/>
      <c r="AA89" s="42"/>
      <c r="AB89" s="20"/>
    </row>
    <row r="90" spans="7:28" hidden="1" x14ac:dyDescent="0.3">
      <c r="G90"/>
      <c r="H90"/>
      <c r="I90"/>
      <c r="J90"/>
      <c r="K90"/>
      <c r="L90"/>
      <c r="M90"/>
      <c r="N90"/>
      <c r="AA90" s="42"/>
      <c r="AB90" s="20"/>
    </row>
    <row r="91" spans="7:28" hidden="1" x14ac:dyDescent="0.3">
      <c r="G91"/>
      <c r="H91"/>
      <c r="I91"/>
      <c r="J91"/>
      <c r="K91"/>
      <c r="L91"/>
      <c r="M91"/>
      <c r="N91"/>
      <c r="AA91" s="42"/>
      <c r="AB91" s="20"/>
    </row>
    <row r="92" spans="7:28" hidden="1" x14ac:dyDescent="0.3">
      <c r="G92"/>
      <c r="H92"/>
      <c r="I92"/>
      <c r="J92"/>
      <c r="K92"/>
      <c r="L92"/>
      <c r="M92"/>
      <c r="N92"/>
      <c r="AA92" s="42"/>
      <c r="AB92" s="20"/>
    </row>
    <row r="93" spans="7:28" hidden="1" x14ac:dyDescent="0.3">
      <c r="G93"/>
      <c r="H93"/>
      <c r="I93"/>
      <c r="J93"/>
      <c r="K93"/>
      <c r="L93"/>
      <c r="M93"/>
      <c r="N93"/>
      <c r="AA93" s="42"/>
      <c r="AB93" s="20"/>
    </row>
    <row r="94" spans="7:28" hidden="1" x14ac:dyDescent="0.3">
      <c r="G94"/>
      <c r="H94"/>
      <c r="I94"/>
      <c r="J94"/>
      <c r="K94"/>
      <c r="L94"/>
      <c r="M94"/>
      <c r="N94"/>
      <c r="AA94" s="42"/>
      <c r="AB94" s="20"/>
    </row>
    <row r="95" spans="7:28" hidden="1" x14ac:dyDescent="0.3">
      <c r="G95"/>
      <c r="H95"/>
      <c r="I95"/>
      <c r="J95"/>
      <c r="K95"/>
      <c r="L95"/>
      <c r="M95"/>
      <c r="N95"/>
      <c r="AA95" s="42"/>
      <c r="AB95" s="20"/>
    </row>
    <row r="96" spans="7:28" hidden="1" x14ac:dyDescent="0.3">
      <c r="G96"/>
      <c r="H96"/>
      <c r="I96"/>
      <c r="J96"/>
      <c r="K96"/>
      <c r="L96"/>
      <c r="M96"/>
      <c r="N96"/>
      <c r="AA96" s="42"/>
      <c r="AB96" s="20"/>
    </row>
    <row r="97" spans="4:28" hidden="1" x14ac:dyDescent="0.3">
      <c r="G97"/>
      <c r="H97"/>
      <c r="I97"/>
      <c r="J97"/>
      <c r="K97"/>
      <c r="L97"/>
      <c r="M97"/>
      <c r="N97"/>
      <c r="AA97" s="42"/>
      <c r="AB97" s="20"/>
    </row>
    <row r="98" spans="4:28" hidden="1" x14ac:dyDescent="0.3">
      <c r="D98" s="9" t="s">
        <v>13</v>
      </c>
      <c r="G98"/>
      <c r="H98"/>
      <c r="I98"/>
      <c r="J98"/>
      <c r="K98"/>
      <c r="L98"/>
      <c r="M98"/>
      <c r="N98"/>
      <c r="AA98" s="42"/>
      <c r="AB98" s="20"/>
    </row>
    <row r="99" spans="4:28" hidden="1" x14ac:dyDescent="0.3">
      <c r="D99" s="9" t="s">
        <v>14</v>
      </c>
      <c r="G99"/>
      <c r="H99"/>
      <c r="I99"/>
      <c r="J99"/>
      <c r="K99"/>
      <c r="L99"/>
      <c r="M99"/>
      <c r="N99"/>
      <c r="AA99" s="42"/>
      <c r="AB99" s="20"/>
    </row>
    <row r="100" spans="4:28" hidden="1" x14ac:dyDescent="0.3">
      <c r="G100"/>
      <c r="H100"/>
      <c r="I100"/>
      <c r="J100"/>
      <c r="K100"/>
      <c r="L100"/>
      <c r="M100"/>
      <c r="N100"/>
      <c r="AA100" s="42"/>
      <c r="AB100" s="20"/>
    </row>
    <row r="101" spans="4:28" ht="18" hidden="1" x14ac:dyDescent="0.35">
      <c r="D101" s="2" t="s">
        <v>29</v>
      </c>
      <c r="E101" s="2"/>
      <c r="G101"/>
      <c r="H101"/>
      <c r="I101"/>
      <c r="J101"/>
      <c r="K101"/>
      <c r="L101"/>
      <c r="M101"/>
      <c r="N101"/>
      <c r="AA101" s="42"/>
      <c r="AB101" s="20"/>
    </row>
    <row r="102" spans="4:28" ht="18" hidden="1" x14ac:dyDescent="0.35">
      <c r="D102" s="2" t="s">
        <v>12</v>
      </c>
      <c r="E102" s="2"/>
      <c r="G102"/>
      <c r="H102"/>
      <c r="I102"/>
      <c r="J102"/>
      <c r="K102"/>
      <c r="L102"/>
      <c r="M102"/>
      <c r="N102"/>
      <c r="AA102" s="42"/>
      <c r="AB102" s="20"/>
    </row>
    <row r="103" spans="4:28" ht="18" hidden="1" x14ac:dyDescent="0.35">
      <c r="D103" s="2" t="s">
        <v>28</v>
      </c>
      <c r="E103" s="2"/>
      <c r="G103"/>
      <c r="H103"/>
      <c r="I103"/>
      <c r="J103"/>
      <c r="K103"/>
      <c r="L103"/>
      <c r="M103"/>
      <c r="N103"/>
      <c r="AA103" s="42"/>
      <c r="AB103" s="20"/>
    </row>
    <row r="104" spans="4:28" ht="18" hidden="1" x14ac:dyDescent="0.35">
      <c r="D104" s="2" t="s">
        <v>10</v>
      </c>
      <c r="E104" s="2"/>
      <c r="G104"/>
      <c r="H104"/>
      <c r="I104"/>
      <c r="J104"/>
      <c r="K104"/>
      <c r="L104"/>
      <c r="M104"/>
      <c r="N104"/>
      <c r="AA104" s="42"/>
      <c r="AB104" s="20"/>
    </row>
    <row r="105" spans="4:28" hidden="1" x14ac:dyDescent="0.3">
      <c r="G105"/>
      <c r="H105"/>
      <c r="I105"/>
      <c r="J105"/>
      <c r="K105"/>
      <c r="L105"/>
      <c r="M105"/>
      <c r="N105"/>
      <c r="AA105" s="42"/>
      <c r="AB105" s="20"/>
    </row>
    <row r="106" spans="4:28" hidden="1" x14ac:dyDescent="0.3">
      <c r="D106" s="9" t="s">
        <v>95</v>
      </c>
      <c r="G106"/>
      <c r="H106"/>
      <c r="I106"/>
      <c r="J106"/>
      <c r="K106"/>
      <c r="L106"/>
      <c r="M106"/>
      <c r="N106"/>
      <c r="AA106" s="42"/>
      <c r="AB106" s="20"/>
    </row>
    <row r="107" spans="4:28" hidden="1" x14ac:dyDescent="0.3">
      <c r="D107" s="9" t="s">
        <v>100</v>
      </c>
      <c r="G107"/>
      <c r="H107"/>
      <c r="I107"/>
      <c r="J107"/>
      <c r="K107"/>
      <c r="L107"/>
      <c r="M107"/>
      <c r="N107"/>
      <c r="AA107" s="42"/>
      <c r="AB107" s="20"/>
    </row>
    <row r="108" spans="4:28" hidden="1" x14ac:dyDescent="0.3">
      <c r="D108" s="9" t="s">
        <v>102</v>
      </c>
      <c r="G108"/>
      <c r="H108"/>
      <c r="I108"/>
      <c r="J108"/>
      <c r="K108"/>
      <c r="L108"/>
      <c r="M108"/>
      <c r="N108"/>
      <c r="AA108" s="42"/>
      <c r="AB108" s="20"/>
    </row>
    <row r="109" spans="4:28" hidden="1" x14ac:dyDescent="0.3">
      <c r="D109" s="9" t="s">
        <v>101</v>
      </c>
      <c r="G109"/>
      <c r="H109"/>
      <c r="I109"/>
      <c r="J109"/>
      <c r="K109"/>
      <c r="L109"/>
      <c r="M109"/>
      <c r="N109"/>
      <c r="AA109" s="42"/>
      <c r="AB109" s="20"/>
    </row>
    <row r="110" spans="4:28" hidden="1" x14ac:dyDescent="0.3">
      <c r="D110" s="9" t="s">
        <v>23</v>
      </c>
      <c r="G110"/>
      <c r="H110"/>
      <c r="I110"/>
      <c r="J110"/>
      <c r="K110"/>
      <c r="L110"/>
      <c r="M110"/>
      <c r="N110"/>
      <c r="AA110" s="42"/>
      <c r="AB110" s="20"/>
    </row>
    <row r="111" spans="4:28" hidden="1" x14ac:dyDescent="0.3">
      <c r="D111" s="9" t="s">
        <v>24</v>
      </c>
      <c r="G111"/>
      <c r="H111"/>
      <c r="I111"/>
      <c r="J111"/>
      <c r="K111"/>
      <c r="L111"/>
      <c r="M111"/>
      <c r="N111"/>
      <c r="AA111" s="42"/>
      <c r="AB111" s="20"/>
    </row>
    <row r="112" spans="4:28" hidden="1" x14ac:dyDescent="0.3">
      <c r="D112" s="9" t="s">
        <v>9</v>
      </c>
      <c r="G112"/>
      <c r="H112"/>
      <c r="I112"/>
      <c r="J112"/>
      <c r="K112"/>
      <c r="L112"/>
      <c r="M112"/>
      <c r="N112"/>
      <c r="AA112" s="42"/>
      <c r="AB112" s="20"/>
    </row>
    <row r="113" spans="4:28" hidden="1" x14ac:dyDescent="0.3">
      <c r="D113" s="9" t="s">
        <v>25</v>
      </c>
      <c r="G113"/>
      <c r="H113"/>
      <c r="I113"/>
      <c r="J113"/>
      <c r="K113"/>
      <c r="L113"/>
      <c r="M113"/>
      <c r="N113"/>
      <c r="AA113" s="42"/>
      <c r="AB113" s="20"/>
    </row>
    <row r="114" spans="4:28" hidden="1" x14ac:dyDescent="0.3">
      <c r="D114" s="9" t="s">
        <v>26</v>
      </c>
      <c r="G114"/>
      <c r="H114"/>
      <c r="I114"/>
      <c r="J114"/>
      <c r="K114"/>
      <c r="L114"/>
      <c r="M114"/>
      <c r="N114"/>
      <c r="AA114" s="42"/>
      <c r="AB114" s="20"/>
    </row>
    <row r="115" spans="4:28" hidden="1" x14ac:dyDescent="0.3">
      <c r="D115" s="9" t="s">
        <v>27</v>
      </c>
      <c r="G115"/>
      <c r="H115"/>
      <c r="I115"/>
      <c r="J115"/>
      <c r="K115"/>
      <c r="L115"/>
      <c r="M115"/>
      <c r="N115"/>
      <c r="AA115" s="42"/>
      <c r="AB115" s="20"/>
    </row>
    <row r="116" spans="4:28" hidden="1" x14ac:dyDescent="0.3">
      <c r="G116"/>
      <c r="H116"/>
      <c r="I116"/>
      <c r="J116"/>
      <c r="K116"/>
      <c r="L116"/>
      <c r="M116"/>
      <c r="N116"/>
      <c r="AA116" s="42"/>
      <c r="AB116" s="20"/>
    </row>
    <row r="117" spans="4:28" hidden="1" x14ac:dyDescent="0.3">
      <c r="G117"/>
      <c r="H117"/>
      <c r="I117"/>
      <c r="J117"/>
      <c r="K117"/>
      <c r="L117"/>
      <c r="M117"/>
      <c r="N117"/>
      <c r="AA117" s="42"/>
      <c r="AB117" s="20"/>
    </row>
    <row r="118" spans="4:28" hidden="1" x14ac:dyDescent="0.3">
      <c r="G118"/>
      <c r="H118"/>
      <c r="I118"/>
      <c r="J118"/>
      <c r="K118"/>
      <c r="L118"/>
      <c r="M118"/>
      <c r="N118"/>
      <c r="AA118" s="42"/>
      <c r="AB118" s="20"/>
    </row>
    <row r="119" spans="4:28" hidden="1" x14ac:dyDescent="0.3">
      <c r="G119"/>
      <c r="H119"/>
      <c r="I119"/>
      <c r="J119"/>
      <c r="K119"/>
      <c r="L119"/>
      <c r="M119"/>
      <c r="N119"/>
      <c r="AA119" s="42"/>
      <c r="AB119" s="20"/>
    </row>
    <row r="120" spans="4:28" hidden="1" x14ac:dyDescent="0.3">
      <c r="G120"/>
      <c r="H120"/>
      <c r="I120"/>
      <c r="J120"/>
      <c r="K120"/>
      <c r="L120"/>
      <c r="M120"/>
      <c r="N120"/>
      <c r="AA120" s="42"/>
      <c r="AB120" s="20"/>
    </row>
    <row r="121" spans="4:28" hidden="1" x14ac:dyDescent="0.3">
      <c r="G121"/>
      <c r="H121"/>
      <c r="I121"/>
      <c r="J121"/>
      <c r="K121"/>
      <c r="L121"/>
      <c r="M121"/>
      <c r="N121"/>
      <c r="AA121" s="42"/>
      <c r="AB121" s="20"/>
    </row>
    <row r="122" spans="4:28" hidden="1" x14ac:dyDescent="0.3">
      <c r="G122"/>
      <c r="H122"/>
      <c r="I122"/>
      <c r="J122"/>
      <c r="K122"/>
      <c r="L122"/>
      <c r="M122"/>
      <c r="N122"/>
      <c r="AA122" s="42"/>
      <c r="AB122" s="20"/>
    </row>
    <row r="123" spans="4:28" hidden="1" x14ac:dyDescent="0.3">
      <c r="G123"/>
      <c r="H123"/>
      <c r="I123"/>
      <c r="J123"/>
      <c r="K123"/>
      <c r="L123"/>
      <c r="M123"/>
      <c r="N123"/>
      <c r="AA123" s="42"/>
      <c r="AB123" s="20"/>
    </row>
    <row r="124" spans="4:28" hidden="1" x14ac:dyDescent="0.3">
      <c r="G124"/>
      <c r="H124"/>
      <c r="I124"/>
      <c r="J124"/>
      <c r="K124"/>
      <c r="L124"/>
      <c r="M124"/>
      <c r="N124"/>
      <c r="AA124" s="42"/>
      <c r="AB124" s="20"/>
    </row>
    <row r="125" spans="4:28" hidden="1" x14ac:dyDescent="0.3">
      <c r="G125"/>
      <c r="H125"/>
      <c r="I125"/>
      <c r="J125"/>
      <c r="K125"/>
      <c r="L125"/>
      <c r="M125"/>
      <c r="N125"/>
      <c r="AA125" s="42"/>
      <c r="AB125" s="20"/>
    </row>
    <row r="126" spans="4:28" hidden="1" x14ac:dyDescent="0.3">
      <c r="G126"/>
      <c r="H126"/>
      <c r="I126"/>
      <c r="J126"/>
      <c r="K126"/>
      <c r="L126"/>
      <c r="M126"/>
      <c r="N126"/>
      <c r="AA126" s="42"/>
      <c r="AB126" s="20"/>
    </row>
    <row r="127" spans="4:28" hidden="1" x14ac:dyDescent="0.3">
      <c r="G127"/>
      <c r="H127"/>
      <c r="I127"/>
      <c r="J127"/>
      <c r="K127"/>
      <c r="L127"/>
      <c r="M127"/>
      <c r="N127"/>
      <c r="AA127" s="42"/>
      <c r="AB127" s="20"/>
    </row>
    <row r="128" spans="4:28" hidden="1" x14ac:dyDescent="0.3">
      <c r="G128"/>
      <c r="H128"/>
      <c r="I128"/>
      <c r="J128"/>
      <c r="K128"/>
      <c r="L128"/>
      <c r="M128"/>
      <c r="N128"/>
      <c r="AA128" s="42"/>
      <c r="AB128" s="20"/>
    </row>
    <row r="129" spans="7:28" hidden="1" x14ac:dyDescent="0.3">
      <c r="G129"/>
      <c r="H129"/>
      <c r="I129"/>
      <c r="J129"/>
      <c r="K129"/>
      <c r="L129"/>
      <c r="M129"/>
      <c r="N129"/>
      <c r="AA129" s="42"/>
      <c r="AB129" s="20"/>
    </row>
    <row r="130" spans="7:28" hidden="1" x14ac:dyDescent="0.3">
      <c r="G130"/>
      <c r="H130"/>
      <c r="I130"/>
      <c r="J130"/>
      <c r="K130"/>
      <c r="L130"/>
      <c r="M130"/>
      <c r="N130"/>
      <c r="AA130" s="42"/>
      <c r="AB130" s="20"/>
    </row>
    <row r="131" spans="7:28" hidden="1" x14ac:dyDescent="0.3">
      <c r="G131"/>
      <c r="H131"/>
      <c r="I131"/>
      <c r="J131"/>
      <c r="K131"/>
      <c r="L131"/>
      <c r="M131"/>
      <c r="N131"/>
      <c r="AA131" s="42"/>
      <c r="AB131" s="20"/>
    </row>
    <row r="132" spans="7:28" hidden="1" x14ac:dyDescent="0.3">
      <c r="G132"/>
      <c r="H132"/>
      <c r="I132"/>
      <c r="J132"/>
      <c r="K132"/>
      <c r="L132"/>
      <c r="M132"/>
      <c r="N132"/>
      <c r="AA132" s="42"/>
      <c r="AB132" s="20"/>
    </row>
    <row r="133" spans="7:28" x14ac:dyDescent="0.3">
      <c r="G133"/>
      <c r="H133"/>
      <c r="I133"/>
      <c r="J133"/>
      <c r="K133"/>
      <c r="L133"/>
      <c r="M133"/>
      <c r="N133"/>
      <c r="AA133" s="258" t="s">
        <v>684</v>
      </c>
      <c r="AB133" s="259" t="s">
        <v>669</v>
      </c>
    </row>
    <row r="134" spans="7:28" x14ac:dyDescent="0.3">
      <c r="G134"/>
      <c r="H134"/>
      <c r="I134"/>
      <c r="J134"/>
      <c r="K134"/>
      <c r="L134"/>
      <c r="M134"/>
      <c r="N134"/>
    </row>
    <row r="135" spans="7:28" x14ac:dyDescent="0.3"/>
    <row r="136" spans="7:28" x14ac:dyDescent="0.3"/>
    <row r="137" spans="7:28" ht="14.4" customHeight="1" x14ac:dyDescent="0.3"/>
    <row r="138" spans="7:28" ht="14.4" customHeight="1" x14ac:dyDescent="0.3"/>
    <row r="139" spans="7:28" ht="14.4" customHeight="1" x14ac:dyDescent="0.3"/>
    <row r="140" spans="7:28" ht="14.4" customHeight="1" x14ac:dyDescent="0.3"/>
    <row r="141" spans="7:28" ht="14.4" customHeight="1" x14ac:dyDescent="0.3"/>
    <row r="142" spans="7:28" ht="14.4" customHeight="1" x14ac:dyDescent="0.3"/>
    <row r="143" spans="7:28" ht="14.4" customHeight="1" x14ac:dyDescent="0.3"/>
    <row r="144" spans="7:28"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sheetData>
  <mergeCells count="72">
    <mergeCell ref="R71:S71"/>
    <mergeCell ref="T70:U70"/>
    <mergeCell ref="T71:U71"/>
    <mergeCell ref="K65:K71"/>
    <mergeCell ref="L65:M65"/>
    <mergeCell ref="O65:P65"/>
    <mergeCell ref="L67:M67"/>
    <mergeCell ref="L68:M68"/>
    <mergeCell ref="L69:M69"/>
    <mergeCell ref="L71:M71"/>
    <mergeCell ref="L70:M70"/>
    <mergeCell ref="R65:S69"/>
    <mergeCell ref="T65:U69"/>
    <mergeCell ref="B45:U45"/>
    <mergeCell ref="B47:U47"/>
    <mergeCell ref="B49:U49"/>
    <mergeCell ref="B51:U51"/>
    <mergeCell ref="B54:K54"/>
    <mergeCell ref="R59:U60"/>
    <mergeCell ref="R61:S64"/>
    <mergeCell ref="T61:U64"/>
    <mergeCell ref="R70:S70"/>
    <mergeCell ref="D76:F76"/>
    <mergeCell ref="H76:J76"/>
    <mergeCell ref="D63:E63"/>
    <mergeCell ref="D64:E64"/>
    <mergeCell ref="G64:H64"/>
    <mergeCell ref="G65:H65"/>
    <mergeCell ref="J59:P60"/>
    <mergeCell ref="K61:K64"/>
    <mergeCell ref="L61:M61"/>
    <mergeCell ref="O61:P61"/>
    <mergeCell ref="L62:M62"/>
    <mergeCell ref="O62:P62"/>
    <mergeCell ref="B77:K77"/>
    <mergeCell ref="L66:M66"/>
    <mergeCell ref="D71:E71"/>
    <mergeCell ref="C61:C64"/>
    <mergeCell ref="C65:C71"/>
    <mergeCell ref="G61:H61"/>
    <mergeCell ref="G62:H62"/>
    <mergeCell ref="D65:E65"/>
    <mergeCell ref="D66:E66"/>
    <mergeCell ref="D67:E67"/>
    <mergeCell ref="D68:E68"/>
    <mergeCell ref="D69:E69"/>
    <mergeCell ref="B75:K75"/>
    <mergeCell ref="D70:E70"/>
    <mergeCell ref="B76:C76"/>
    <mergeCell ref="L63:M63"/>
    <mergeCell ref="B4:C4"/>
    <mergeCell ref="C28:U28"/>
    <mergeCell ref="C32:U32"/>
    <mergeCell ref="C35:U35"/>
    <mergeCell ref="C37:U37"/>
    <mergeCell ref="D4:F4"/>
    <mergeCell ref="L64:M64"/>
    <mergeCell ref="O64:P64"/>
    <mergeCell ref="X7:Y7"/>
    <mergeCell ref="B43:U43"/>
    <mergeCell ref="C10:U10"/>
    <mergeCell ref="C21:U21"/>
    <mergeCell ref="C26:U26"/>
    <mergeCell ref="B20:B29"/>
    <mergeCell ref="B31:B40"/>
    <mergeCell ref="B9:B18"/>
    <mergeCell ref="C39:U39"/>
    <mergeCell ref="B59:H60"/>
    <mergeCell ref="D61:E61"/>
    <mergeCell ref="D62:E62"/>
    <mergeCell ref="B55:C55"/>
    <mergeCell ref="D55:F55"/>
  </mergeCells>
  <hyperlinks>
    <hyperlink ref="AA6" r:id="rId1" xr:uid="{3EFA7781-3F4F-4F8A-8858-987E3AD4DC04}"/>
    <hyperlink ref="AB6" r:id="rId2" xr:uid="{7CEEA494-7AE3-495F-8BAC-9B977F2D1B29}"/>
  </hyperlinks>
  <printOptions horizontalCentered="1" verticalCentered="1"/>
  <pageMargins left="0" right="0" top="0" bottom="0" header="0" footer="0"/>
  <pageSetup scale="51"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2"/>
    <pageSetUpPr autoPageBreaks="0" fitToPage="1"/>
  </sheetPr>
  <dimension ref="B1:X104"/>
  <sheetViews>
    <sheetView showGridLines="0" zoomScale="70" zoomScaleNormal="70" workbookViewId="0">
      <selection activeCell="B3" sqref="B3"/>
    </sheetView>
  </sheetViews>
  <sheetFormatPr defaultColWidth="9.109375" defaultRowHeight="14.4" zeroHeight="1" x14ac:dyDescent="0.3"/>
  <cols>
    <col min="1" max="1" width="3.109375" customWidth="1"/>
    <col min="2" max="2" width="10.6640625" customWidth="1"/>
    <col min="3" max="3" width="43.33203125" customWidth="1"/>
    <col min="4" max="4" width="41.33203125" style="9" customWidth="1"/>
    <col min="5" max="13" width="12" customWidth="1"/>
    <col min="14" max="14" width="12" style="716" customWidth="1"/>
    <col min="15" max="15" width="12" style="9" customWidth="1"/>
    <col min="16" max="18" width="12" style="9" hidden="1" customWidth="1"/>
    <col min="19" max="19" width="4.33203125" customWidth="1"/>
    <col min="20" max="21" width="4.33203125" hidden="1" customWidth="1"/>
    <col min="22" max="22" width="9.109375" hidden="1" customWidth="1"/>
    <col min="23" max="23" width="175.44140625" style="13" hidden="1" customWidth="1"/>
    <col min="24" max="24" width="51.6640625" hidden="1" customWidth="1"/>
    <col min="25" max="52" width="9.109375" customWidth="1"/>
  </cols>
  <sheetData>
    <row r="1" spans="2:24" x14ac:dyDescent="0.3"/>
    <row r="2" spans="2:24" ht="45.75" customHeight="1" x14ac:dyDescent="0.85">
      <c r="B2" s="244">
        <f>'Review FPET Inputs'!D5</f>
        <v>0</v>
      </c>
      <c r="C2" s="120"/>
      <c r="D2" s="120"/>
      <c r="E2" s="120"/>
      <c r="F2" s="120"/>
      <c r="G2" s="120"/>
      <c r="H2" s="120"/>
      <c r="I2" s="120"/>
      <c r="J2" s="120"/>
      <c r="K2" s="120"/>
      <c r="L2" s="120"/>
      <c r="M2" s="120"/>
      <c r="N2" s="120"/>
      <c r="O2" s="120"/>
      <c r="P2" s="120"/>
      <c r="Q2" s="120"/>
      <c r="R2" s="120"/>
      <c r="S2" s="243"/>
      <c r="W2" s="247" t="s">
        <v>1242</v>
      </c>
      <c r="X2" s="248" t="s">
        <v>1243</v>
      </c>
    </row>
    <row r="3" spans="2:24" ht="24.75" customHeight="1" x14ac:dyDescent="0.3">
      <c r="B3" s="245" t="str">
        <f>IF(Language="english", W2, X2)</f>
        <v>FP2030 Annual Indicator Calculator: Results 2021</v>
      </c>
      <c r="C3" s="120"/>
      <c r="D3" s="120"/>
      <c r="E3" s="120"/>
      <c r="F3" s="120"/>
      <c r="G3" s="120"/>
      <c r="H3" s="120"/>
      <c r="I3" s="120"/>
      <c r="J3" s="120"/>
      <c r="K3" s="120"/>
      <c r="L3" s="120"/>
      <c r="M3" s="120"/>
      <c r="N3" s="120"/>
      <c r="O3" s="120"/>
      <c r="P3" s="120"/>
      <c r="Q3" s="120"/>
      <c r="R3" s="120"/>
      <c r="S3" s="243"/>
      <c r="W3" s="42"/>
      <c r="X3" s="20"/>
    </row>
    <row r="4" spans="2:24" s="27" customFormat="1" ht="25.5" customHeight="1" x14ac:dyDescent="0.3">
      <c r="B4" s="589" t="str">
        <f>IF(Language=English, W4,X4)</f>
        <v>Published</v>
      </c>
      <c r="C4" s="428">
        <f ca="1">NOW()</f>
        <v>44631.405463541669</v>
      </c>
      <c r="D4" s="240"/>
      <c r="T4"/>
      <c r="U4"/>
      <c r="W4" s="42" t="s">
        <v>613</v>
      </c>
      <c r="X4" s="256" t="s">
        <v>623</v>
      </c>
    </row>
    <row r="5" spans="2:24" s="9" customFormat="1" ht="16.5" customHeight="1" x14ac:dyDescent="0.3">
      <c r="B5" s="384" t="str">
        <f>IF(Language=English, W5,X5)</f>
        <v>For more information about the FP2030 Core Indicators, please visit:</v>
      </c>
      <c r="C5" s="429"/>
      <c r="D5" s="241"/>
      <c r="N5" s="716"/>
      <c r="T5"/>
      <c r="U5"/>
      <c r="W5" s="42" t="s">
        <v>1246</v>
      </c>
      <c r="X5" s="20" t="s">
        <v>1247</v>
      </c>
    </row>
    <row r="6" spans="2:24" s="9" customFormat="1" ht="16.5" customHeight="1" x14ac:dyDescent="0.3">
      <c r="B6" s="1027" t="str">
        <f>IF(Language=English, W6,X6)</f>
        <v>www.track20.org</v>
      </c>
      <c r="C6" s="1027"/>
      <c r="D6" s="384"/>
      <c r="N6" s="716"/>
      <c r="T6"/>
      <c r="U6"/>
      <c r="W6" s="249" t="s">
        <v>624</v>
      </c>
      <c r="X6" s="264" t="s">
        <v>624</v>
      </c>
    </row>
    <row r="7" spans="2:24" ht="14.25" customHeight="1" thickBot="1" x14ac:dyDescent="0.35">
      <c r="W7" s="42"/>
      <c r="X7" s="20"/>
    </row>
    <row r="8" spans="2:24" ht="15" thickBot="1" x14ac:dyDescent="0.35">
      <c r="B8" s="238"/>
      <c r="C8" s="239"/>
      <c r="D8" s="239"/>
      <c r="E8" s="405">
        <v>2012</v>
      </c>
      <c r="F8" s="405">
        <v>2013</v>
      </c>
      <c r="G8" s="405">
        <v>2014</v>
      </c>
      <c r="H8" s="405">
        <v>2015</v>
      </c>
      <c r="I8" s="405">
        <v>2016</v>
      </c>
      <c r="J8" s="405">
        <v>2017</v>
      </c>
      <c r="K8" s="405">
        <v>2018</v>
      </c>
      <c r="L8" s="405">
        <v>2019</v>
      </c>
      <c r="M8" s="405">
        <v>2020</v>
      </c>
      <c r="N8" s="405">
        <v>2021</v>
      </c>
      <c r="O8" s="405">
        <v>2022</v>
      </c>
      <c r="P8" s="328"/>
      <c r="Q8" s="328"/>
      <c r="R8" s="328"/>
      <c r="W8" s="42"/>
      <c r="X8" s="20"/>
    </row>
    <row r="9" spans="2:24" s="44" customFormat="1" ht="30" customHeight="1" x14ac:dyDescent="0.3">
      <c r="B9" s="586">
        <v>1</v>
      </c>
      <c r="C9" s="1029" t="str">
        <f t="shared" ref="C9:C18" si="0">IF(Language=English,W9, X9)</f>
        <v>Number of additional users of modern methods of contraception</v>
      </c>
      <c r="D9" s="1030"/>
      <c r="E9" s="445">
        <f>VLOOKUP($T9&amp;$U9&amp;"50", 'Indicator Calculations'!$A$8:$Z$52, MATCH(E$8,'Indicator Calculations'!$A$7:$Z$7, 0), FALSE)</f>
        <v>0</v>
      </c>
      <c r="F9" s="445" t="e">
        <f>VLOOKUP($T9&amp;$U9&amp;"50", 'Indicator Calculations'!$A$8:$Z$52, MATCH(F$8,'Indicator Calculations'!$A$7:$Z$7, 0), FALSE)</f>
        <v>#N/A</v>
      </c>
      <c r="G9" s="445" t="e">
        <f>VLOOKUP($T9&amp;$U9&amp;"50", 'Indicator Calculations'!$A$8:$Z$52, MATCH(G$8,'Indicator Calculations'!$A$7:$Z$7, 0), FALSE)</f>
        <v>#N/A</v>
      </c>
      <c r="H9" s="445" t="e">
        <f>VLOOKUP($T9&amp;$U9&amp;"50", 'Indicator Calculations'!$A$8:$Z$52, MATCH(H$8,'Indicator Calculations'!$A$7:$Z$7, 0), FALSE)</f>
        <v>#N/A</v>
      </c>
      <c r="I9" s="445" t="e">
        <f>VLOOKUP($T9&amp;$U9&amp;"50", 'Indicator Calculations'!$A$8:$Z$52, MATCH(I$8,'Indicator Calculations'!$A$7:$Z$7, 0), FALSE)</f>
        <v>#N/A</v>
      </c>
      <c r="J9" s="445" t="e">
        <f>VLOOKUP($T9&amp;$U9&amp;"50", 'Indicator Calculations'!$A$8:$Z$52, MATCH(J$8,'Indicator Calculations'!$A$7:$Z$7, 0), FALSE)</f>
        <v>#N/A</v>
      </c>
      <c r="K9" s="445" t="e">
        <f>VLOOKUP($T9&amp;$U9&amp;"50", 'Indicator Calculations'!$A$8:$Z$52, MATCH(K$8,'Indicator Calculations'!$A$7:$Z$7, 0), FALSE)</f>
        <v>#N/A</v>
      </c>
      <c r="L9" s="445" t="e">
        <f>VLOOKUP($T9&amp;$U9&amp;"50", 'Indicator Calculations'!$A$8:$Z$52, MATCH(L$8,'Indicator Calculations'!$A$7:$Z$7, 0), FALSE)</f>
        <v>#N/A</v>
      </c>
      <c r="M9" s="571" t="e">
        <f>VLOOKUP($T9&amp;$U9&amp;"50", 'Indicator Calculations'!$A$8:$Z$52, MATCH(M$8,'Indicator Calculations'!$A$7:$Z$7, 0), FALSE)</f>
        <v>#N/A</v>
      </c>
      <c r="N9" s="571" t="e">
        <f>VLOOKUP($T9&amp;$U9&amp;"50", 'Indicator Calculations'!$A$8:$Z$52, MATCH(N$8,'Indicator Calculations'!$A$7:$Z$7, 0), FALSE)</f>
        <v>#N/A</v>
      </c>
      <c r="O9" s="571" t="e">
        <f>VLOOKUP($T9&amp;$U9&amp;"50", 'Indicator Calculations'!$A$8:$Z$52, MATCH(O$8,'Indicator Calculations'!$A$7:$Z$7, 0), FALSE)</f>
        <v>#N/A</v>
      </c>
      <c r="P9" s="446"/>
      <c r="Q9" s="446"/>
      <c r="R9" s="446"/>
      <c r="T9" s="118" t="s">
        <v>505</v>
      </c>
      <c r="U9" s="118" t="s">
        <v>1034</v>
      </c>
      <c r="W9" s="435" t="s">
        <v>100</v>
      </c>
      <c r="X9" s="250" t="s">
        <v>924</v>
      </c>
    </row>
    <row r="10" spans="2:24" s="9" customFormat="1" ht="15" customHeight="1" x14ac:dyDescent="0.3">
      <c r="B10" s="242"/>
      <c r="C10" s="1028" t="str">
        <f t="shared" si="0"/>
        <v>Definition: The number of additional women (or their partners) of reproductive age currently using a modern contraceptive method, compared to the number in 2012</v>
      </c>
      <c r="D10" s="1028"/>
      <c r="E10" s="1028"/>
      <c r="F10" s="1028"/>
      <c r="G10" s="1028"/>
      <c r="H10" s="1028"/>
      <c r="I10" s="1028"/>
      <c r="J10" s="1028"/>
      <c r="K10" s="1028"/>
      <c r="L10" s="1028"/>
      <c r="M10" s="1028"/>
      <c r="N10" s="819"/>
      <c r="O10" s="266"/>
      <c r="P10" s="266"/>
      <c r="Q10" s="266"/>
      <c r="R10" s="266"/>
      <c r="T10" s="118"/>
      <c r="U10" s="118"/>
      <c r="W10" s="42" t="s">
        <v>614</v>
      </c>
      <c r="X10" s="251" t="s">
        <v>782</v>
      </c>
    </row>
    <row r="11" spans="2:24" s="44" customFormat="1" ht="30" customHeight="1" x14ac:dyDescent="0.3">
      <c r="B11" s="587">
        <v>2</v>
      </c>
      <c r="C11" s="1031" t="str">
        <f t="shared" si="0"/>
        <v>Modern contraceptive prevalence rate (mCPR), all women</v>
      </c>
      <c r="D11" s="1032"/>
      <c r="E11" s="433">
        <f>VLOOKUP($T11&amp;$U11&amp;"50", 'Indicator Calculations'!$A$8:$Z$52, MATCH(E$8,'Indicator Calculations'!$A$7:$Z$7, 0), FALSE)</f>
        <v>0</v>
      </c>
      <c r="F11" s="433">
        <f>VLOOKUP($T11&amp;$U11&amp;"50", 'Indicator Calculations'!$A$8:$Z$52, MATCH(F$8,'Indicator Calculations'!$A$7:$Z$7, 0), FALSE)</f>
        <v>0</v>
      </c>
      <c r="G11" s="433">
        <f>VLOOKUP($T11&amp;$U11&amp;"50", 'Indicator Calculations'!$A$8:$Z$52, MATCH(G$8,'Indicator Calculations'!$A$7:$Z$7, 0), FALSE)</f>
        <v>0</v>
      </c>
      <c r="H11" s="433">
        <f>VLOOKUP($T11&amp;$U11&amp;"50", 'Indicator Calculations'!$A$8:$Z$52, MATCH(H$8,'Indicator Calculations'!$A$7:$Z$7, 0), FALSE)</f>
        <v>0</v>
      </c>
      <c r="I11" s="433">
        <f>VLOOKUP($T11&amp;$U11&amp;"50", 'Indicator Calculations'!$A$8:$Z$52, MATCH(I$8,'Indicator Calculations'!$A$7:$Z$7, 0), FALSE)</f>
        <v>0</v>
      </c>
      <c r="J11" s="433">
        <f>VLOOKUP($T11&amp;$U11&amp;"50", 'Indicator Calculations'!$A$8:$Z$52, MATCH(J$8,'Indicator Calculations'!$A$7:$Z$7, 0), FALSE)</f>
        <v>0</v>
      </c>
      <c r="K11" s="433">
        <f>VLOOKUP($T11&amp;$U11&amp;"50", 'Indicator Calculations'!$A$8:$Z$52, MATCH(K$8,'Indicator Calculations'!$A$7:$Z$7, 0), FALSE)</f>
        <v>0</v>
      </c>
      <c r="L11" s="433">
        <f>VLOOKUP($T11&amp;$U11&amp;"50", 'Indicator Calculations'!$A$8:$Z$52, MATCH(L$8,'Indicator Calculations'!$A$7:$Z$7, 0), FALSE)</f>
        <v>0</v>
      </c>
      <c r="M11" s="433">
        <f>VLOOKUP($T11&amp;$U11&amp;"50", 'Indicator Calculations'!$A$8:$Z$52, MATCH(M$8,'Indicator Calculations'!$A$7:$Z$7, 0), FALSE)</f>
        <v>0</v>
      </c>
      <c r="N11" s="433">
        <f>VLOOKUP($T11&amp;$U11&amp;"50", 'Indicator Calculations'!$A$8:$Z$52, MATCH(N$8,'Indicator Calculations'!$A$7:$Z$7, 0), FALSE)</f>
        <v>0</v>
      </c>
      <c r="O11" s="433">
        <f>VLOOKUP($T11&amp;$U11&amp;"50", 'Indicator Calculations'!$A$8:$Z$52, MATCH(O$8,'Indicator Calculations'!$A$7:$Z$7, 0), FALSE)</f>
        <v>0</v>
      </c>
      <c r="P11" s="434" t="e">
        <f>'Indicator Calculations'!Q49</f>
        <v>#REF!</v>
      </c>
      <c r="Q11" s="434" t="e">
        <f>'Indicator Calculations'!R49</f>
        <v>#REF!</v>
      </c>
      <c r="R11" s="434" t="e">
        <f>'Indicator Calculations'!S49</f>
        <v>#REF!</v>
      </c>
      <c r="T11" s="118" t="s">
        <v>505</v>
      </c>
      <c r="U11" s="690" t="s">
        <v>1014</v>
      </c>
      <c r="W11" s="435" t="s">
        <v>95</v>
      </c>
      <c r="X11" s="436" t="s">
        <v>50</v>
      </c>
    </row>
    <row r="12" spans="2:24" s="9" customFormat="1" ht="15" customHeight="1" x14ac:dyDescent="0.3">
      <c r="B12" s="242"/>
      <c r="C12" s="1028" t="str">
        <f t="shared" si="0"/>
        <v>Definition: The percentage of all women of reproductive age who are using (or whose partner is using) a modern method of contraception at a particular point in time</v>
      </c>
      <c r="D12" s="1028"/>
      <c r="E12" s="1028"/>
      <c r="F12" s="1028"/>
      <c r="G12" s="1028"/>
      <c r="H12" s="1028"/>
      <c r="I12" s="1028"/>
      <c r="J12" s="1028"/>
      <c r="K12" s="1028"/>
      <c r="L12" s="1028"/>
      <c r="M12" s="1028"/>
      <c r="N12" s="819"/>
      <c r="O12" s="431"/>
      <c r="P12" s="431"/>
      <c r="Q12" s="431"/>
      <c r="R12" s="431"/>
      <c r="T12" s="118"/>
      <c r="U12" s="118"/>
      <c r="W12" s="42" t="s">
        <v>615</v>
      </c>
      <c r="X12" s="251" t="s">
        <v>620</v>
      </c>
    </row>
    <row r="13" spans="2:24" s="44" customFormat="1" ht="30" customHeight="1" x14ac:dyDescent="0.3">
      <c r="B13" s="587">
        <v>3</v>
      </c>
      <c r="C13" s="1031" t="str">
        <f t="shared" si="0"/>
        <v>Percentage of women with an unmet need for modern methods of contraception, all women</v>
      </c>
      <c r="D13" s="1032"/>
      <c r="E13" s="433">
        <f>VLOOKUP($T13&amp;$U13&amp;"50", 'Indicator Calculations'!$A$8:$Z$52, MATCH(E$8,'Indicator Calculations'!$A$7:$Z$7, 0), FALSE)</f>
        <v>0</v>
      </c>
      <c r="F13" s="433">
        <f>VLOOKUP($T13&amp;$U13&amp;"50", 'Indicator Calculations'!$A$8:$Z$52, MATCH(F$8,'Indicator Calculations'!$A$7:$Z$7, 0), FALSE)</f>
        <v>0</v>
      </c>
      <c r="G13" s="433">
        <f>VLOOKUP($T13&amp;$U13&amp;"50", 'Indicator Calculations'!$A$8:$Z$52, MATCH(G$8,'Indicator Calculations'!$A$7:$Z$7, 0), FALSE)</f>
        <v>0</v>
      </c>
      <c r="H13" s="433">
        <f>VLOOKUP($T13&amp;$U13&amp;"50", 'Indicator Calculations'!$A$8:$Z$52, MATCH(H$8,'Indicator Calculations'!$A$7:$Z$7, 0), FALSE)</f>
        <v>0</v>
      </c>
      <c r="I13" s="433">
        <f>VLOOKUP($T13&amp;$U13&amp;"50", 'Indicator Calculations'!$A$8:$Z$52, MATCH(I$8,'Indicator Calculations'!$A$7:$Z$7, 0), FALSE)</f>
        <v>0</v>
      </c>
      <c r="J13" s="433">
        <f>VLOOKUP($T13&amp;$U13&amp;"50", 'Indicator Calculations'!$A$8:$Z$52, MATCH(J$8,'Indicator Calculations'!$A$7:$Z$7, 0), FALSE)</f>
        <v>0</v>
      </c>
      <c r="K13" s="433">
        <f>VLOOKUP($T13&amp;$U13&amp;"50", 'Indicator Calculations'!$A$8:$Z$52, MATCH(K$8,'Indicator Calculations'!$A$7:$Z$7, 0), FALSE)</f>
        <v>0</v>
      </c>
      <c r="L13" s="433">
        <f>VLOOKUP($T13&amp;$U13&amp;"50", 'Indicator Calculations'!$A$8:$Z$52, MATCH(L$8,'Indicator Calculations'!$A$7:$Z$7, 0), FALSE)</f>
        <v>0</v>
      </c>
      <c r="M13" s="433">
        <f>VLOOKUP($T13&amp;$U13&amp;"50", 'Indicator Calculations'!$A$8:$Z$52, MATCH(M$8,'Indicator Calculations'!$A$7:$Z$7, 0), FALSE)</f>
        <v>0</v>
      </c>
      <c r="N13" s="433">
        <f>VLOOKUP($T13&amp;$U13&amp;"50", 'Indicator Calculations'!$A$8:$Z$52, MATCH(N$8,'Indicator Calculations'!$A$7:$Z$7, 0), FALSE)</f>
        <v>0</v>
      </c>
      <c r="O13" s="433">
        <f>VLOOKUP($T13&amp;$U13&amp;"50", 'Indicator Calculations'!$A$8:$Z$52, MATCH(O$8,'Indicator Calculations'!$A$7:$Z$7, 0), FALSE)</f>
        <v>0</v>
      </c>
      <c r="P13" s="437"/>
      <c r="Q13" s="437"/>
      <c r="R13" s="437"/>
      <c r="T13" s="118" t="s">
        <v>505</v>
      </c>
      <c r="U13" s="690" t="s">
        <v>1017</v>
      </c>
      <c r="W13" s="435" t="str">
        <f>IF('Indicator Calculations'!G24="", "Percentage of women with an unmet need for modern methods of contraception, married women", "Percentage of women with an unmet need for modern methods of contraception, all women")</f>
        <v>Percentage of women with an unmet need for modern methods of contraception, all women</v>
      </c>
      <c r="X13" s="252" t="str">
        <f>IF('Indicator Calculations'!G24="", "Pourcentage de femmes dont les besoins en matière de contraception n’ont pas été satisfaits, femmes mariées", "Pourcentage de femmes dont les besoins en matière de contraception n’ont pas été satisfaits, toutes les femmes")</f>
        <v>Pourcentage de femmes dont les besoins en matière de contraception n’ont pas été satisfaits, toutes les femmes</v>
      </c>
    </row>
    <row r="14" spans="2:24" s="9" customFormat="1" ht="37.200000000000003" customHeight="1" x14ac:dyDescent="0.3">
      <c r="B14" s="242"/>
      <c r="C14" s="1028" t="str">
        <f t="shared" si="0"/>
        <v>Definition: The percentage of fecund women of reproductive age who want no more children or want to postpone having a child, but are not using a modern contraceptive method, plus women who are currently using a traditional method of family planning. Women using a traditional method are assumed to have an unmet need for modern contraception.</v>
      </c>
      <c r="D14" s="1028"/>
      <c r="E14" s="1028"/>
      <c r="F14" s="1028"/>
      <c r="G14" s="1028"/>
      <c r="H14" s="1028"/>
      <c r="I14" s="1028"/>
      <c r="J14" s="1028"/>
      <c r="K14" s="1028"/>
      <c r="L14" s="1028"/>
      <c r="M14" s="1028"/>
      <c r="N14" s="1028"/>
      <c r="O14" s="1028"/>
      <c r="P14" s="266"/>
      <c r="Q14" s="266"/>
      <c r="R14" s="266"/>
      <c r="T14" s="118"/>
      <c r="U14" s="118"/>
      <c r="W14" s="42" t="s">
        <v>804</v>
      </c>
      <c r="X14" s="253" t="s">
        <v>621</v>
      </c>
    </row>
    <row r="15" spans="2:24" s="44" customFormat="1" ht="30" customHeight="1" x14ac:dyDescent="0.3">
      <c r="B15" s="587">
        <v>4</v>
      </c>
      <c r="C15" s="1031" t="str">
        <f t="shared" si="0"/>
        <v>Percentage of women whose demand is satisfied with a modern method of contraception, all women</v>
      </c>
      <c r="D15" s="1032"/>
      <c r="E15" s="433">
        <f>VLOOKUP($T15&amp;$U15&amp;"50", 'Indicator Calculations'!$A$8:$Z$52, MATCH(E$8,'Indicator Calculations'!$A$7:$Z$7, 0), FALSE)</f>
        <v>0</v>
      </c>
      <c r="F15" s="433">
        <f>VLOOKUP($T15&amp;$U15&amp;"50", 'Indicator Calculations'!$A$8:$Z$52, MATCH(F$8,'Indicator Calculations'!$A$7:$Z$7, 0), FALSE)</f>
        <v>0</v>
      </c>
      <c r="G15" s="433">
        <f>VLOOKUP($T15&amp;$U15&amp;"50", 'Indicator Calculations'!$A$8:$Z$52, MATCH(G$8,'Indicator Calculations'!$A$7:$Z$7, 0), FALSE)</f>
        <v>0</v>
      </c>
      <c r="H15" s="433">
        <f>VLOOKUP($T15&amp;$U15&amp;"50", 'Indicator Calculations'!$A$8:$Z$52, MATCH(H$8,'Indicator Calculations'!$A$7:$Z$7, 0), FALSE)</f>
        <v>0</v>
      </c>
      <c r="I15" s="433">
        <f>VLOOKUP($T15&amp;$U15&amp;"50", 'Indicator Calculations'!$A$8:$Z$52, MATCH(I$8,'Indicator Calculations'!$A$7:$Z$7, 0), FALSE)</f>
        <v>0</v>
      </c>
      <c r="J15" s="433">
        <f>VLOOKUP($T15&amp;$U15&amp;"50", 'Indicator Calculations'!$A$8:$Z$52, MATCH(J$8,'Indicator Calculations'!$A$7:$Z$7, 0), FALSE)</f>
        <v>0</v>
      </c>
      <c r="K15" s="433">
        <f>VLOOKUP($T15&amp;$U15&amp;"50", 'Indicator Calculations'!$A$8:$Z$52, MATCH(K$8,'Indicator Calculations'!$A$7:$Z$7, 0), FALSE)</f>
        <v>0</v>
      </c>
      <c r="L15" s="433">
        <f>VLOOKUP($T15&amp;$U15&amp;"50", 'Indicator Calculations'!$A$8:$Z$52, MATCH(L$8,'Indicator Calculations'!$A$7:$Z$7, 0), FALSE)</f>
        <v>0</v>
      </c>
      <c r="M15" s="433">
        <f>VLOOKUP($T15&amp;$U15&amp;"50", 'Indicator Calculations'!$A$8:$Z$52, MATCH(M$8,'Indicator Calculations'!$A$7:$Z$7, 0), FALSE)</f>
        <v>0</v>
      </c>
      <c r="N15" s="433">
        <f>VLOOKUP($T15&amp;$U15&amp;"50", 'Indicator Calculations'!$A$8:$Z$52, MATCH(N$8,'Indicator Calculations'!$A$7:$Z$7, 0), FALSE)</f>
        <v>0</v>
      </c>
      <c r="O15" s="433">
        <f>VLOOKUP($T15&amp;$U15&amp;"50", 'Indicator Calculations'!$A$8:$Z$52, MATCH(O$8,'Indicator Calculations'!$A$7:$Z$7, 0), FALSE)</f>
        <v>0</v>
      </c>
      <c r="P15" s="437"/>
      <c r="Q15" s="437"/>
      <c r="R15" s="437"/>
      <c r="T15" s="118" t="s">
        <v>505</v>
      </c>
      <c r="U15" s="690" t="s">
        <v>1016</v>
      </c>
      <c r="W15" s="435" t="str">
        <f>IF('Indicator Calculations'!G25="", "Percentage of women whose demand is satisfied with a modern method of contraception, married women", "Percentage of women whose demand is satisfied with a modern method of contraception, all women")</f>
        <v>Percentage of women whose demand is satisfied with a modern method of contraception, all women</v>
      </c>
      <c r="X15" s="254" t="str">
        <f>IF('Indicator Calculations'!G25="", "Pourcentage de femmes dont les besoins en contraception moderne ont été satisfaits, femmes mariées", "Pourcentage de femmes dont les besoins en contraception moderne ont été satisfaits, toutes les femmes")</f>
        <v>Pourcentage de femmes dont les besoins en contraception moderne ont été satisfaits, toutes les femmes</v>
      </c>
    </row>
    <row r="16" spans="2:24" ht="37.5" customHeight="1" x14ac:dyDescent="0.3">
      <c r="B16" s="242"/>
      <c r="C16" s="1028" t="str">
        <f t="shared" si="0"/>
        <v>Definition: The percentage of fecund women of reproductive age who want no more children or want to postpone having a child, and who are currently using a modern method of contraception. Women using a traditional method of family planning are assumed to have an unmet need for modern contraception.</v>
      </c>
      <c r="D16" s="1028"/>
      <c r="E16" s="1028"/>
      <c r="F16" s="1028"/>
      <c r="G16" s="1028"/>
      <c r="H16" s="1028"/>
      <c r="I16" s="1028"/>
      <c r="J16" s="1028"/>
      <c r="K16" s="1028"/>
      <c r="L16" s="1028"/>
      <c r="M16" s="1028"/>
      <c r="N16" s="1028"/>
      <c r="O16" s="1028"/>
      <c r="P16" s="266"/>
      <c r="Q16" s="266"/>
      <c r="R16" s="266"/>
      <c r="W16" s="42" t="s">
        <v>805</v>
      </c>
      <c r="X16" s="255" t="s">
        <v>806</v>
      </c>
    </row>
    <row r="17" spans="2:24" s="44" customFormat="1" ht="30" customHeight="1" x14ac:dyDescent="0.3">
      <c r="B17" s="587">
        <v>5</v>
      </c>
      <c r="C17" s="1031" t="str">
        <f t="shared" si="0"/>
        <v>Number of unintended pregnancies</v>
      </c>
      <c r="D17" s="1032"/>
      <c r="E17" s="438" t="e">
        <f>ROUNDDOWN('Impact Calculations'!D24, -3)</f>
        <v>#N/A</v>
      </c>
      <c r="F17" s="438" t="e">
        <f>ROUNDDOWN('Impact Calculations'!E24, -3)</f>
        <v>#N/A</v>
      </c>
      <c r="G17" s="438" t="e">
        <f>ROUNDDOWN('Impact Calculations'!F24, -3)</f>
        <v>#N/A</v>
      </c>
      <c r="H17" s="438" t="e">
        <f>ROUNDDOWN('Impact Calculations'!G24, -3)</f>
        <v>#N/A</v>
      </c>
      <c r="I17" s="438" t="e">
        <f>ROUNDDOWN('Impact Calculations'!H24, -3)</f>
        <v>#N/A</v>
      </c>
      <c r="J17" s="438" t="e">
        <f>ROUNDDOWN('Impact Calculations'!I24, -3)</f>
        <v>#N/A</v>
      </c>
      <c r="K17" s="438" t="e">
        <f>ROUNDDOWN('Impact Calculations'!J24, -3)</f>
        <v>#N/A</v>
      </c>
      <c r="L17" s="438" t="e">
        <f>ROUNDDOWN('Impact Calculations'!K24, -3)</f>
        <v>#N/A</v>
      </c>
      <c r="M17" s="570" t="e">
        <f>ROUNDDOWN('Impact Calculations'!L24, -3)</f>
        <v>#N/A</v>
      </c>
      <c r="N17" s="570" t="e">
        <f>ROUNDDOWN('Impact Calculations'!M24, -3)</f>
        <v>#N/A</v>
      </c>
      <c r="O17" s="570" t="e">
        <f>ROUNDDOWN('Impact Calculations'!N24, -3)</f>
        <v>#N/A</v>
      </c>
      <c r="P17" s="439"/>
      <c r="Q17" s="439"/>
      <c r="R17" s="439"/>
      <c r="S17" s="118"/>
      <c r="T17"/>
      <c r="U17"/>
      <c r="W17" s="435" t="s">
        <v>9</v>
      </c>
      <c r="X17" s="436" t="s">
        <v>51</v>
      </c>
    </row>
    <row r="18" spans="2:24" ht="33" customHeight="1" x14ac:dyDescent="0.3">
      <c r="B18" s="242"/>
      <c r="C18" s="1028" t="str">
        <f t="shared" si="0"/>
        <v>Definition: The number of pregnancies that are estimated to have occurred at a time when women (and their partners) either did not want additional children or wanted to delay the next birth.
Usually measured with regard to last or recent pregnancies, including current pregnancies.</v>
      </c>
      <c r="D18" s="1028"/>
      <c r="E18" s="1028"/>
      <c r="F18" s="1028"/>
      <c r="G18" s="1028"/>
      <c r="H18" s="1028"/>
      <c r="I18" s="1028"/>
      <c r="J18" s="1028"/>
      <c r="K18" s="1028"/>
      <c r="L18" s="1028"/>
      <c r="M18" s="1028"/>
      <c r="N18" s="1028"/>
      <c r="O18" s="1028"/>
      <c r="P18" s="266"/>
      <c r="Q18" s="266"/>
      <c r="R18" s="266"/>
      <c r="W18" s="42" t="s">
        <v>807</v>
      </c>
      <c r="X18" s="42" t="s">
        <v>622</v>
      </c>
    </row>
    <row r="19" spans="2:24" s="44" customFormat="1" ht="30" customHeight="1" x14ac:dyDescent="0.3">
      <c r="B19" s="440"/>
      <c r="C19" s="1033" t="str">
        <f>IF(Language=English,W19, X19)</f>
        <v>Number of users of modern methods of contraception (not a core indicator)</v>
      </c>
      <c r="D19" s="1034"/>
      <c r="E19" s="441" t="e">
        <f>MROUND('Indicator Calculations'!G35, 1000)</f>
        <v>#N/A</v>
      </c>
      <c r="F19" s="441" t="e">
        <f>MROUND('Indicator Calculations'!H35, 1000)</f>
        <v>#N/A</v>
      </c>
      <c r="G19" s="441" t="e">
        <f>MROUND('Indicator Calculations'!I35, 1000)</f>
        <v>#N/A</v>
      </c>
      <c r="H19" s="441" t="e">
        <f>MROUND('Indicator Calculations'!J35, 1000)</f>
        <v>#N/A</v>
      </c>
      <c r="I19" s="441" t="e">
        <f>MROUND('Indicator Calculations'!K35, 1000)</f>
        <v>#N/A</v>
      </c>
      <c r="J19" s="441" t="e">
        <f>MROUND('Indicator Calculations'!L35, 1000)</f>
        <v>#N/A</v>
      </c>
      <c r="K19" s="441" t="e">
        <f>MROUND('Indicator Calculations'!M35, 1000)</f>
        <v>#N/A</v>
      </c>
      <c r="L19" s="442" t="e">
        <f>MROUND('Indicator Calculations'!N35, 1000)</f>
        <v>#N/A</v>
      </c>
      <c r="M19" s="443" t="e">
        <f>MROUND('Indicator Calculations'!O35, 1000)</f>
        <v>#N/A</v>
      </c>
      <c r="N19" s="443" t="e">
        <f>MROUND('Indicator Calculations'!P35, 1000)</f>
        <v>#N/A</v>
      </c>
      <c r="O19" s="443" t="e">
        <f>MROUND('Indicator Calculations'!Q35, 1000)</f>
        <v>#N/A</v>
      </c>
      <c r="P19" s="444" t="e">
        <f>MROUND('Indicator Calculations'!Q35, 1000)</f>
        <v>#N/A</v>
      </c>
      <c r="Q19" s="444" t="e">
        <f>MROUND('Indicator Calculations'!R35, 1000)</f>
        <v>#N/A</v>
      </c>
      <c r="R19" s="444" t="e">
        <f>MROUND('Indicator Calculations'!S35, 1000)</f>
        <v>#N/A</v>
      </c>
      <c r="T19"/>
      <c r="U19"/>
      <c r="W19" s="435" t="s">
        <v>110</v>
      </c>
      <c r="X19" s="436" t="s">
        <v>925</v>
      </c>
    </row>
    <row r="20" spans="2:24" s="9" customFormat="1" ht="25.5" customHeight="1" x14ac:dyDescent="0.3">
      <c r="B20" s="412"/>
      <c r="C20" s="1035" t="str">
        <f>IF(Language=English,W20, X20)</f>
        <v>Definition: The number of women (or their partners) of reproductive age currently using a modern method</v>
      </c>
      <c r="D20" s="1035"/>
      <c r="E20" s="1035"/>
      <c r="F20" s="1035"/>
      <c r="G20" s="1035"/>
      <c r="H20" s="1035"/>
      <c r="I20" s="1035"/>
      <c r="J20" s="1035"/>
      <c r="K20" s="1035"/>
      <c r="L20" s="1035"/>
      <c r="M20" s="1035"/>
      <c r="N20" s="1035"/>
      <c r="O20" s="1035"/>
      <c r="P20" s="383"/>
      <c r="Q20" s="383"/>
      <c r="R20" s="383"/>
      <c r="T20"/>
      <c r="U20"/>
      <c r="W20" s="42" t="s">
        <v>781</v>
      </c>
      <c r="X20" s="42" t="s">
        <v>954</v>
      </c>
    </row>
    <row r="21" spans="2:24" s="44" customFormat="1" ht="30" customHeight="1" x14ac:dyDescent="0.3">
      <c r="B21" s="587">
        <v>6</v>
      </c>
      <c r="C21" s="1031" t="str">
        <f>IF(Language=English,W21,X21)</f>
        <v>Number of unintended pregnancies averted due to modern contraceptive use</v>
      </c>
      <c r="D21" s="1032"/>
      <c r="E21" s="438" t="e">
        <f>IF('Impact Calculations'!D69&lt;10000, ROUNDDOWN('Impact Calculations'!D69, -2),  ROUNDDOWN('Impact Calculations'!D69, -3))</f>
        <v>#N/A</v>
      </c>
      <c r="F21" s="438" t="e">
        <f>IF('Impact Calculations'!E69&lt;10000, ROUNDDOWN('Impact Calculations'!E69, -2),  ROUNDDOWN('Impact Calculations'!E69, -3))</f>
        <v>#N/A</v>
      </c>
      <c r="G21" s="438" t="e">
        <f>IF('Impact Calculations'!F69&lt;10000, ROUNDDOWN('Impact Calculations'!F69, -2),  ROUNDDOWN('Impact Calculations'!F69, -3))</f>
        <v>#N/A</v>
      </c>
      <c r="H21" s="438" t="e">
        <f>IF('Impact Calculations'!G69&lt;10000, ROUNDDOWN('Impact Calculations'!G69, -2),  ROUNDDOWN('Impact Calculations'!G69, -3))</f>
        <v>#N/A</v>
      </c>
      <c r="I21" s="438" t="e">
        <f>IF('Impact Calculations'!H69&lt;10000, ROUNDDOWN('Impact Calculations'!H69, -2),  ROUNDDOWN('Impact Calculations'!H69, -3))</f>
        <v>#N/A</v>
      </c>
      <c r="J21" s="438" t="e">
        <f>IF('Impact Calculations'!I69&lt;10000, ROUNDDOWN('Impact Calculations'!I69, -2),  ROUNDDOWN('Impact Calculations'!I69, -3))</f>
        <v>#N/A</v>
      </c>
      <c r="K21" s="438" t="e">
        <f>IF('Impact Calculations'!J69&lt;10000, ROUNDDOWN('Impact Calculations'!J69, -2),  ROUNDDOWN('Impact Calculations'!J69, -3))</f>
        <v>#N/A</v>
      </c>
      <c r="L21" s="438" t="e">
        <f>IF('Impact Calculations'!K69&lt;10000, ROUNDDOWN('Impact Calculations'!K69, -2),  ROUNDDOWN('Impact Calculations'!K69, -3))</f>
        <v>#N/A</v>
      </c>
      <c r="M21" s="438" t="e">
        <f>IF('Impact Calculations'!L69&lt;10000, ROUNDDOWN('Impact Calculations'!L69, -2),  ROUNDDOWN('Impact Calculations'!L69, -3))</f>
        <v>#N/A</v>
      </c>
      <c r="N21" s="438" t="e">
        <f>IF('Impact Calculations'!M69&lt;10000, ROUNDDOWN('Impact Calculations'!M69, -2),  ROUNDDOWN('Impact Calculations'!M69, -3))</f>
        <v>#N/A</v>
      </c>
      <c r="O21" s="438" t="e">
        <f>IF('Impact Calculations'!N69&lt;10000, ROUNDDOWN('Impact Calculations'!N69, -2),  ROUNDDOWN('Impact Calculations'!N69, -3))</f>
        <v>#N/A</v>
      </c>
      <c r="P21" s="444"/>
      <c r="Q21" s="444"/>
      <c r="R21" s="444"/>
      <c r="T21"/>
      <c r="U21"/>
      <c r="W21" s="435" t="s">
        <v>25</v>
      </c>
      <c r="X21" s="436" t="s">
        <v>105</v>
      </c>
    </row>
    <row r="22" spans="2:24" s="9" customFormat="1" ht="15" customHeight="1" x14ac:dyDescent="0.3">
      <c r="B22" s="242"/>
      <c r="C22" s="1028" t="str">
        <f>IF(Language=English,W22, X22)</f>
        <v>Definition: The estimated number of unintended pregnancies that did not occur during a specified reference period as a result of the protection provided by contraceptive use during the reference period</v>
      </c>
      <c r="D22" s="1028"/>
      <c r="E22" s="1028"/>
      <c r="F22" s="1028"/>
      <c r="G22" s="1028"/>
      <c r="H22" s="1028"/>
      <c r="I22" s="1028"/>
      <c r="J22" s="1028"/>
      <c r="K22" s="1028"/>
      <c r="L22" s="1028"/>
      <c r="M22" s="1028"/>
      <c r="N22" s="819"/>
      <c r="O22" s="431"/>
      <c r="P22" s="431"/>
      <c r="Q22" s="431"/>
      <c r="R22" s="431"/>
      <c r="T22"/>
      <c r="U22"/>
      <c r="W22" s="42" t="s">
        <v>808</v>
      </c>
      <c r="X22" s="450" t="s">
        <v>813</v>
      </c>
    </row>
    <row r="23" spans="2:24" s="44" customFormat="1" ht="30" customHeight="1" x14ac:dyDescent="0.3">
      <c r="B23" s="587">
        <v>7</v>
      </c>
      <c r="C23" s="1031" t="str">
        <f>IF(Language=English,W23,X23)</f>
        <v>Number of unsafe abortions averted due to modern contraceptive use</v>
      </c>
      <c r="D23" s="1032"/>
      <c r="E23" s="438" t="e">
        <f>IF('Impact Calculations'!D91&lt;10000, ROUNDDOWN('Impact Calculations'!D91, -2), ROUNDDOWN('Impact Calculations'!D91, -3))</f>
        <v>#N/A</v>
      </c>
      <c r="F23" s="438" t="e">
        <f>IF('Impact Calculations'!E91&lt;10000, ROUNDDOWN('Impact Calculations'!E91, -2), ROUNDDOWN('Impact Calculations'!E91, -3))</f>
        <v>#N/A</v>
      </c>
      <c r="G23" s="438" t="e">
        <f>IF('Impact Calculations'!F91&lt;10000, ROUNDDOWN('Impact Calculations'!F91, -2), ROUNDDOWN('Impact Calculations'!F91, -3))</f>
        <v>#N/A</v>
      </c>
      <c r="H23" s="438" t="e">
        <f>IF('Impact Calculations'!G91&lt;10000, ROUNDDOWN('Impact Calculations'!G91, -2), ROUNDDOWN('Impact Calculations'!G91, -3))</f>
        <v>#N/A</v>
      </c>
      <c r="I23" s="438" t="e">
        <f>IF('Impact Calculations'!H91&lt;10000, ROUNDDOWN('Impact Calculations'!H91, -2), ROUNDDOWN('Impact Calculations'!H91, -3))</f>
        <v>#N/A</v>
      </c>
      <c r="J23" s="438" t="e">
        <f>IF('Impact Calculations'!I91&lt;10000, ROUNDDOWN('Impact Calculations'!I91, -2), ROUNDDOWN('Impact Calculations'!I91, -3))</f>
        <v>#N/A</v>
      </c>
      <c r="K23" s="438" t="e">
        <f>IF('Impact Calculations'!J91&lt;10000, ROUNDDOWN('Impact Calculations'!J91, -2), ROUNDDOWN('Impact Calculations'!J91, -3))</f>
        <v>#N/A</v>
      </c>
      <c r="L23" s="438" t="e">
        <f>IF('Impact Calculations'!K91&lt;10000, ROUNDDOWN('Impact Calculations'!K91, -2), ROUNDDOWN('Impact Calculations'!K91, -3))</f>
        <v>#N/A</v>
      </c>
      <c r="M23" s="438" t="e">
        <f>IF('Impact Calculations'!L91&lt;10000, ROUNDDOWN('Impact Calculations'!L91, -2), ROUNDDOWN('Impact Calculations'!L91, -3))</f>
        <v>#N/A</v>
      </c>
      <c r="N23" s="438" t="e">
        <f>IF('Impact Calculations'!M91&lt;10000, ROUNDDOWN('Impact Calculations'!M91, -2), ROUNDDOWN('Impact Calculations'!M91, -3))</f>
        <v>#N/A</v>
      </c>
      <c r="O23" s="438" t="e">
        <f>IF('Impact Calculations'!N91&lt;10000, ROUNDDOWN('Impact Calculations'!N91, -2), ROUNDDOWN('Impact Calculations'!N91, -3))</f>
        <v>#N/A</v>
      </c>
      <c r="P23" s="444"/>
      <c r="Q23" s="444"/>
      <c r="R23" s="444"/>
      <c r="T23"/>
      <c r="U23"/>
      <c r="W23" s="435" t="s">
        <v>27</v>
      </c>
      <c r="X23" s="436" t="s">
        <v>104</v>
      </c>
    </row>
    <row r="24" spans="2:24" s="9" customFormat="1" ht="15" customHeight="1" x14ac:dyDescent="0.3">
      <c r="B24" s="242"/>
      <c r="C24" s="1028" t="str">
        <f>IF(Language=English,W24, X24)</f>
        <v>Definition: The estimated number of unsafe abortions that did not occur during a specified reference period as a result of the protection provided by contraceptive use during the reference period.</v>
      </c>
      <c r="D24" s="1028"/>
      <c r="E24" s="1028"/>
      <c r="F24" s="1028"/>
      <c r="G24" s="1028"/>
      <c r="H24" s="1028"/>
      <c r="I24" s="1028"/>
      <c r="J24" s="1028"/>
      <c r="K24" s="1028"/>
      <c r="L24" s="1028"/>
      <c r="M24" s="1028"/>
      <c r="N24" s="819"/>
      <c r="O24" s="431"/>
      <c r="P24" s="431"/>
      <c r="Q24" s="431"/>
      <c r="R24" s="431"/>
      <c r="T24"/>
      <c r="U24"/>
      <c r="W24" s="42" t="s">
        <v>809</v>
      </c>
      <c r="X24" s="251" t="s">
        <v>812</v>
      </c>
    </row>
    <row r="25" spans="2:24" s="44" customFormat="1" ht="30" customHeight="1" x14ac:dyDescent="0.3">
      <c r="B25" s="587">
        <v>8</v>
      </c>
      <c r="C25" s="1031" t="str">
        <f>IF(Language=English,W25,X25)</f>
        <v>Number of maternal deaths averted due to modern contraceptive use</v>
      </c>
      <c r="D25" s="1032"/>
      <c r="E25" s="438" t="e">
        <f>IF('Impact Calculations'!D124&lt;1000,ROUNDDOWN('Impact Calculations'!D124,-1),IF('Impact Calculations'!D124&lt;10000,ROUNDDOWN('Impact Calculations'!D124,-2),ROUNDDOWN('Impact Calculations'!D124,-3)))</f>
        <v>#N/A</v>
      </c>
      <c r="F25" s="438" t="e">
        <f>IF('Impact Calculations'!E124&lt;1000,ROUNDDOWN('Impact Calculations'!E124,-1),IF('Impact Calculations'!E124&lt;10000,ROUNDDOWN('Impact Calculations'!E124,-2),ROUNDDOWN('Impact Calculations'!E124,-3)))</f>
        <v>#N/A</v>
      </c>
      <c r="G25" s="438" t="e">
        <f>IF('Impact Calculations'!F124&lt;1000,ROUNDDOWN('Impact Calculations'!F124,-1),IF('Impact Calculations'!F124&lt;10000,ROUNDDOWN('Impact Calculations'!F124,-2),ROUNDDOWN('Impact Calculations'!F124,-3)))</f>
        <v>#N/A</v>
      </c>
      <c r="H25" s="438" t="e">
        <f>IF('Impact Calculations'!G124&lt;1000,ROUNDDOWN('Impact Calculations'!G124,-1),IF('Impact Calculations'!G124&lt;10000,ROUNDDOWN('Impact Calculations'!G124,-2),ROUNDDOWN('Impact Calculations'!G124,-3)))</f>
        <v>#N/A</v>
      </c>
      <c r="I25" s="438" t="e">
        <f>IF('Impact Calculations'!H124&lt;1000,ROUNDDOWN('Impact Calculations'!H124,-1),IF('Impact Calculations'!H124&lt;10000,ROUNDDOWN('Impact Calculations'!H124,-2),ROUNDDOWN('Impact Calculations'!H124,-3)))</f>
        <v>#N/A</v>
      </c>
      <c r="J25" s="438" t="e">
        <f>IF('Impact Calculations'!I124&lt;1000,ROUNDDOWN('Impact Calculations'!I124,-1),IF('Impact Calculations'!I124&lt;10000,ROUNDDOWN('Impact Calculations'!I124,-2),ROUNDDOWN('Impact Calculations'!I124,-3)))</f>
        <v>#N/A</v>
      </c>
      <c r="K25" s="438" t="e">
        <f>IF('Impact Calculations'!J124&lt;1000,ROUNDDOWN('Impact Calculations'!J124,-1),IF('Impact Calculations'!J124&lt;10000,ROUNDDOWN('Impact Calculations'!J124,-2),ROUNDDOWN('Impact Calculations'!J124,-3)))</f>
        <v>#N/A</v>
      </c>
      <c r="L25" s="438" t="e">
        <f>IF('Impact Calculations'!K124&lt;1000,ROUNDDOWN('Impact Calculations'!K124,-1),IF('Impact Calculations'!K124&lt;10000,ROUNDDOWN('Impact Calculations'!K124,-2),ROUNDDOWN('Impact Calculations'!K124,-3)))</f>
        <v>#N/A</v>
      </c>
      <c r="M25" s="572" t="e">
        <f>IF('Impact Calculations'!L124&lt;1000,ROUNDDOWN('Impact Calculations'!L124,-1),IF('Impact Calculations'!L124&lt;10000,ROUNDDOWN('Impact Calculations'!L124,-2),ROUNDDOWN('Impact Calculations'!L124,-3)))</f>
        <v>#N/A</v>
      </c>
      <c r="N25" s="572" t="e">
        <f>IF('Impact Calculations'!M124&lt;1000,ROUNDDOWN('Impact Calculations'!M124,-1),IF('Impact Calculations'!M124&lt;10000,ROUNDDOWN('Impact Calculations'!M124,-2),ROUNDDOWN('Impact Calculations'!M124,-3)))</f>
        <v>#N/A</v>
      </c>
      <c r="O25" s="572" t="e">
        <f>IF('Impact Calculations'!N124&lt;1000,ROUNDDOWN('Impact Calculations'!N124,-1),IF('Impact Calculations'!N124&lt;10000,ROUNDDOWN('Impact Calculations'!N124,-2),ROUNDDOWN('Impact Calculations'!N124,-3)))</f>
        <v>#N/A</v>
      </c>
      <c r="P25" s="444"/>
      <c r="Q25" s="444"/>
      <c r="R25" s="444"/>
      <c r="T25"/>
      <c r="U25"/>
      <c r="W25" s="435" t="s">
        <v>26</v>
      </c>
      <c r="X25" s="436" t="s">
        <v>103</v>
      </c>
    </row>
    <row r="26" spans="2:24" s="9" customFormat="1" ht="15" customHeight="1" x14ac:dyDescent="0.3">
      <c r="B26" s="242"/>
      <c r="C26" s="1037" t="str">
        <f>IF(Language=English,W26, X26)</f>
        <v>Definition: The estimated number of maternal deaths that did not occur during a specified reference period as a result of the protection provided by contraceptive use during the reference period.</v>
      </c>
      <c r="D26" s="1037"/>
      <c r="E26" s="1037"/>
      <c r="F26" s="1037"/>
      <c r="G26" s="1037"/>
      <c r="H26" s="1037"/>
      <c r="I26" s="1037"/>
      <c r="J26" s="1037"/>
      <c r="K26" s="1037"/>
      <c r="L26" s="1037"/>
      <c r="M26" s="1037"/>
      <c r="N26" s="1037"/>
      <c r="O26" s="1037"/>
      <c r="P26" s="431"/>
      <c r="Q26" s="431"/>
      <c r="R26" s="431"/>
      <c r="T26"/>
      <c r="U26"/>
      <c r="W26" s="42" t="s">
        <v>810</v>
      </c>
      <c r="X26" s="251" t="s">
        <v>811</v>
      </c>
    </row>
    <row r="27" spans="2:24" s="9" customFormat="1" ht="53.25" customHeight="1" x14ac:dyDescent="0.3">
      <c r="B27" s="260"/>
      <c r="C27" s="1038" t="str">
        <f>IF(Language="english", W27, X27)</f>
        <v>Indicators 6 - 8 show the impact of modern contraceptives in terms of the negative outcomes that did not occur because women were using modern contraceptives (and therefore did not experience unintended pregnancies, and related consequences).  The 2012 number represents the impact that the total number of women using a modern method of contraception in 2012 (shown above) had in the country (e.g. if none of those women were using modern contraceptives in 2012, there would have been xxx more unintended pregnancies).  Increases from the 2012 number show the additional impacts generated by increasing the number of women using modern contraception and changes in method mix.</v>
      </c>
      <c r="D27" s="1038"/>
      <c r="E27" s="1038"/>
      <c r="F27" s="1038"/>
      <c r="G27" s="1038"/>
      <c r="H27" s="1038"/>
      <c r="I27" s="1038"/>
      <c r="J27" s="1038"/>
      <c r="K27" s="1038"/>
      <c r="L27" s="1038"/>
      <c r="M27" s="1038"/>
      <c r="N27" s="1038"/>
      <c r="O27" s="1038"/>
      <c r="P27" s="330"/>
      <c r="Q27" s="330"/>
      <c r="R27" s="330"/>
      <c r="T27"/>
      <c r="U27"/>
      <c r="W27" s="42" t="s">
        <v>814</v>
      </c>
      <c r="X27" s="256" t="s">
        <v>522</v>
      </c>
    </row>
    <row r="28" spans="2:24" ht="12.75" customHeight="1" x14ac:dyDescent="0.3">
      <c r="B28" s="261"/>
      <c r="C28" s="261"/>
      <c r="D28" s="261"/>
      <c r="E28" s="262" t="s">
        <v>616</v>
      </c>
      <c r="F28" s="1022" t="s">
        <v>8</v>
      </c>
      <c r="G28" s="1022"/>
      <c r="H28" s="1022"/>
      <c r="I28" s="1022"/>
      <c r="J28" s="1022" t="s">
        <v>617</v>
      </c>
      <c r="K28" s="1022"/>
      <c r="L28" s="261"/>
      <c r="M28" s="261"/>
      <c r="N28" s="331"/>
      <c r="O28" s="331"/>
      <c r="P28" s="331"/>
      <c r="Q28" s="331"/>
      <c r="R28" s="331"/>
      <c r="W28" s="42" t="s">
        <v>120</v>
      </c>
      <c r="X28" s="20" t="s">
        <v>120</v>
      </c>
    </row>
    <row r="29" spans="2:24" s="9" customFormat="1" ht="18.75" customHeight="1" x14ac:dyDescent="0.35">
      <c r="B29" s="588">
        <v>9</v>
      </c>
      <c r="C29" s="1021" t="str">
        <f>IF(Language=English, W29, X29)</f>
        <v>Percentage of women using each modern method of contraception</v>
      </c>
      <c r="D29" s="1021"/>
      <c r="E29" s="1021"/>
      <c r="F29" s="1024" t="e">
        <f>'Assumption Review'!E78</f>
        <v>#N/A</v>
      </c>
      <c r="G29" s="1024"/>
      <c r="H29" s="1024"/>
      <c r="I29" s="1024"/>
      <c r="J29" s="1023" t="e">
        <f>'Assumption Review'!E61</f>
        <v>#N/A</v>
      </c>
      <c r="K29" s="1023"/>
      <c r="L29" s="263"/>
      <c r="M29" s="263"/>
      <c r="N29" s="8"/>
      <c r="O29" s="8"/>
      <c r="P29" s="8"/>
      <c r="Q29" s="8"/>
      <c r="R29" s="8"/>
      <c r="T29"/>
      <c r="U29"/>
      <c r="W29" s="257" t="s">
        <v>571</v>
      </c>
      <c r="X29" s="251" t="s">
        <v>926</v>
      </c>
    </row>
    <row r="30" spans="2:24" ht="19.5" customHeight="1" x14ac:dyDescent="0.3">
      <c r="B30" s="23"/>
      <c r="C30" s="1036" t="str">
        <f>IF(Language=English, W30, X30)</f>
        <v>Definition: The percentage of modern family planning users using each modern method of contraception.</v>
      </c>
      <c r="D30" s="1036"/>
      <c r="E30" s="1036"/>
      <c r="F30" s="1036"/>
      <c r="G30" s="1036"/>
      <c r="H30" s="1036"/>
      <c r="I30" s="1036"/>
      <c r="J30" s="1036"/>
      <c r="K30" s="1036"/>
      <c r="L30" s="1036"/>
      <c r="M30" s="1036"/>
      <c r="N30" s="819"/>
      <c r="O30" s="266"/>
      <c r="P30" s="266"/>
      <c r="Q30" s="266"/>
      <c r="R30" s="266"/>
      <c r="W30" s="42" t="s">
        <v>922</v>
      </c>
      <c r="X30" s="20" t="s">
        <v>923</v>
      </c>
    </row>
    <row r="31" spans="2:24" ht="7.5" customHeight="1" x14ac:dyDescent="0.3">
      <c r="B31" s="9"/>
      <c r="C31" s="410"/>
      <c r="D31" s="411"/>
      <c r="E31" s="411"/>
      <c r="K31" s="4"/>
      <c r="L31" s="4"/>
      <c r="M31" s="4"/>
      <c r="N31" s="4"/>
      <c r="O31" s="4"/>
      <c r="P31" s="4"/>
      <c r="Q31" s="4"/>
      <c r="R31" s="4"/>
      <c r="W31" s="42" t="s">
        <v>506</v>
      </c>
      <c r="X31" s="20" t="s">
        <v>699</v>
      </c>
    </row>
    <row r="32" spans="2:24" ht="13.5" customHeight="1" x14ac:dyDescent="0.3">
      <c r="B32" s="9"/>
      <c r="C32" s="1025" t="str">
        <f>IF(Language=English, W31, X31)</f>
        <v>Long-Acting and Permanent Methods</v>
      </c>
      <c r="D32" s="407" t="str">
        <f>'Assumption Review'!D65</f>
        <v>Female sterilization</v>
      </c>
      <c r="E32" s="406" t="e">
        <f>VLOOKUP(D32, 'Assumption Review'!$D$65:$E$75, 2, FALSE)/'Assumption Review'!$E$76</f>
        <v>#N/A</v>
      </c>
      <c r="F32" s="9"/>
      <c r="G32" s="9"/>
      <c r="H32" s="9"/>
      <c r="I32" s="9"/>
      <c r="J32" s="4"/>
      <c r="K32" s="4"/>
      <c r="L32" s="4"/>
      <c r="M32" s="4"/>
      <c r="N32" s="4"/>
      <c r="O32" s="4"/>
      <c r="P32" s="4"/>
      <c r="Q32" s="4"/>
      <c r="R32" s="4"/>
      <c r="W32" s="42"/>
      <c r="X32" s="20"/>
    </row>
    <row r="33" spans="2:24" s="9" customFormat="1" x14ac:dyDescent="0.3">
      <c r="C33" s="980"/>
      <c r="D33" s="407" t="str">
        <f>'Assumption Review'!D66</f>
        <v>Male sterilization</v>
      </c>
      <c r="E33" s="406" t="e">
        <f>VLOOKUP(D33, 'Assumption Review'!$D$65:$E$75, 2, FALSE)/'Assumption Review'!$E$76</f>
        <v>#N/A</v>
      </c>
      <c r="J33"/>
      <c r="K33"/>
      <c r="L33"/>
      <c r="M33"/>
      <c r="N33" s="716"/>
      <c r="T33"/>
      <c r="U33"/>
      <c r="W33" s="42"/>
      <c r="X33" s="20"/>
    </row>
    <row r="34" spans="2:24" x14ac:dyDescent="0.3">
      <c r="B34" s="9"/>
      <c r="C34" s="980"/>
      <c r="D34" s="407" t="str">
        <f>'Assumption Review'!D67</f>
        <v>IUD</v>
      </c>
      <c r="E34" s="406" t="e">
        <f>VLOOKUP(D34, 'Assumption Review'!$D$65:$E$75, 2, FALSE)/'Assumption Review'!$E$76</f>
        <v>#N/A</v>
      </c>
      <c r="F34" s="9"/>
      <c r="G34" s="9"/>
      <c r="H34" s="9"/>
      <c r="I34" s="9"/>
      <c r="W34" s="42"/>
      <c r="X34" s="20"/>
    </row>
    <row r="35" spans="2:24" x14ac:dyDescent="0.3">
      <c r="B35" s="9"/>
      <c r="C35" s="1026"/>
      <c r="D35" s="407" t="str">
        <f>'Assumption Review'!D68</f>
        <v>Implants</v>
      </c>
      <c r="E35" s="406" t="e">
        <f>VLOOKUP(D35, 'Assumption Review'!$D$65:$E$75, 2, FALSE)/'Assumption Review'!$E$76</f>
        <v>#N/A</v>
      </c>
      <c r="F35" s="9"/>
      <c r="G35" s="9"/>
      <c r="H35" s="9"/>
      <c r="I35" s="9"/>
      <c r="W35" s="42"/>
      <c r="X35" s="20"/>
    </row>
    <row r="36" spans="2:24" s="9" customFormat="1" ht="5.25" customHeight="1" x14ac:dyDescent="0.3">
      <c r="C36" s="408"/>
      <c r="D36" s="409"/>
      <c r="E36" s="409"/>
      <c r="N36" s="716"/>
      <c r="T36"/>
      <c r="U36"/>
      <c r="W36" s="42" t="s">
        <v>507</v>
      </c>
      <c r="X36" s="20" t="s">
        <v>700</v>
      </c>
    </row>
    <row r="37" spans="2:24" x14ac:dyDescent="0.3">
      <c r="B37" s="9"/>
      <c r="C37" s="1025" t="str">
        <f>IF(Language=English, W36, X36)</f>
        <v>Short-Term Methods</v>
      </c>
      <c r="D37" s="407" t="str">
        <f>'Assumption Review'!D69</f>
        <v>Injections</v>
      </c>
      <c r="E37" s="406" t="e">
        <f>VLOOKUP(D37, 'Assumption Review'!$D$65:$E$75, 2, FALSE)/'Assumption Review'!$E$76</f>
        <v>#N/A</v>
      </c>
      <c r="F37" s="9"/>
      <c r="G37" s="9"/>
      <c r="H37" s="9"/>
      <c r="I37" s="9"/>
      <c r="W37" s="42"/>
      <c r="X37" s="20"/>
    </row>
    <row r="38" spans="2:24" x14ac:dyDescent="0.3">
      <c r="B38" s="9"/>
      <c r="C38" s="980"/>
      <c r="D38" s="407" t="str">
        <f>'Assumption Review'!D70</f>
        <v>Pill</v>
      </c>
      <c r="E38" s="406" t="e">
        <f>VLOOKUP(D38, 'Assumption Review'!$D$65:$E$75, 2, FALSE)/'Assumption Review'!$E$76</f>
        <v>#N/A</v>
      </c>
      <c r="F38" s="9"/>
      <c r="G38" s="9"/>
      <c r="H38" s="9"/>
      <c r="I38" s="9"/>
      <c r="W38" s="42"/>
      <c r="X38" s="20"/>
    </row>
    <row r="39" spans="2:24" x14ac:dyDescent="0.3">
      <c r="B39" s="9"/>
      <c r="C39" s="980"/>
      <c r="D39" s="407" t="str">
        <f>'Assumption Review'!D71</f>
        <v>Male Condom</v>
      </c>
      <c r="E39" s="406" t="e">
        <f>VLOOKUP(D39, 'Assumption Review'!$D$65:$E$75, 2, FALSE)/'Assumption Review'!$E$76</f>
        <v>#N/A</v>
      </c>
      <c r="W39" s="42"/>
      <c r="X39" s="20"/>
    </row>
    <row r="40" spans="2:24" x14ac:dyDescent="0.3">
      <c r="B40" s="9"/>
      <c r="C40" s="980"/>
      <c r="D40" s="407" t="str">
        <f>'Assumption Review'!D72</f>
        <v>Female Condom</v>
      </c>
      <c r="E40" s="406" t="e">
        <f>VLOOKUP(D40, 'Assumption Review'!$D$65:$E$75, 2, FALSE)/'Assumption Review'!$E$76</f>
        <v>#N/A</v>
      </c>
      <c r="W40" s="42"/>
      <c r="X40" s="20"/>
    </row>
    <row r="41" spans="2:24" x14ac:dyDescent="0.3">
      <c r="B41" s="9"/>
      <c r="C41" s="980"/>
      <c r="D41" s="407" t="str">
        <f>'Assumption Review'!D73</f>
        <v>LAM</v>
      </c>
      <c r="E41" s="406" t="e">
        <f>VLOOKUP(D41, 'Assumption Review'!$D$65:$E$75, 2, FALSE)/'Assumption Review'!$E$76</f>
        <v>#N/A</v>
      </c>
      <c r="W41" s="42"/>
      <c r="X41" s="20"/>
    </row>
    <row r="42" spans="2:24" x14ac:dyDescent="0.3">
      <c r="C42" s="980"/>
      <c r="D42" s="407" t="str">
        <f>'Assumption Review'!D74</f>
        <v>Standard Days Method</v>
      </c>
      <c r="E42" s="406" t="e">
        <f>VLOOKUP(D42, 'Assumption Review'!$D$65:$E$75, 2, FALSE)/'Assumption Review'!$E$76</f>
        <v>#N/A</v>
      </c>
      <c r="W42" s="42"/>
      <c r="X42" s="20"/>
    </row>
    <row r="43" spans="2:24" x14ac:dyDescent="0.3">
      <c r="C43" s="1026"/>
      <c r="D43" s="407" t="str">
        <f>'Assumption Review'!D75</f>
        <v>Other modern methods</v>
      </c>
      <c r="E43" s="406" t="e">
        <f>VLOOKUP(D43, 'Assumption Review'!$D$65:$E$75, 2, FALSE)/'Assumption Review'!$E$76</f>
        <v>#N/A</v>
      </c>
      <c r="W43" s="42"/>
      <c r="X43" s="20"/>
    </row>
    <row r="44" spans="2:24" x14ac:dyDescent="0.3">
      <c r="W44" s="42"/>
      <c r="X44" s="20"/>
    </row>
    <row r="45" spans="2:24" x14ac:dyDescent="0.3">
      <c r="D45"/>
      <c r="O45"/>
      <c r="P45"/>
      <c r="Q45"/>
      <c r="R45"/>
      <c r="W45"/>
    </row>
    <row r="46" spans="2:24" x14ac:dyDescent="0.3">
      <c r="D46"/>
      <c r="O46"/>
      <c r="P46"/>
      <c r="Q46"/>
      <c r="R46"/>
      <c r="W46"/>
    </row>
    <row r="47" spans="2:24" ht="29.25" customHeight="1" x14ac:dyDescent="0.3">
      <c r="D47"/>
      <c r="O47"/>
      <c r="P47"/>
      <c r="Q47"/>
      <c r="R47"/>
      <c r="W47"/>
    </row>
    <row r="48" spans="2:24" x14ac:dyDescent="0.3">
      <c r="D48"/>
      <c r="O48"/>
      <c r="P48"/>
      <c r="Q48"/>
      <c r="R48"/>
      <c r="W48"/>
    </row>
    <row r="49" spans="14:14" customFormat="1" hidden="1" x14ac:dyDescent="0.3">
      <c r="N49" s="716"/>
    </row>
    <row r="50" spans="14:14" customFormat="1" hidden="1" x14ac:dyDescent="0.3">
      <c r="N50" s="716"/>
    </row>
    <row r="51" spans="14:14" customFormat="1" hidden="1" x14ac:dyDescent="0.3">
      <c r="N51" s="716"/>
    </row>
    <row r="52" spans="14:14" customFormat="1" hidden="1" x14ac:dyDescent="0.3">
      <c r="N52" s="716"/>
    </row>
    <row r="53" spans="14:14" customFormat="1" hidden="1" x14ac:dyDescent="0.3">
      <c r="N53" s="716"/>
    </row>
    <row r="54" spans="14:14" customFormat="1" hidden="1" x14ac:dyDescent="0.3">
      <c r="N54" s="716"/>
    </row>
    <row r="55" spans="14:14" customFormat="1" hidden="1" x14ac:dyDescent="0.3">
      <c r="N55" s="716"/>
    </row>
    <row r="56" spans="14:14" customFormat="1" hidden="1" x14ac:dyDescent="0.3">
      <c r="N56" s="716"/>
    </row>
    <row r="57" spans="14:14" customFormat="1" hidden="1" x14ac:dyDescent="0.3">
      <c r="N57" s="716"/>
    </row>
    <row r="58" spans="14:14" customFormat="1" hidden="1" x14ac:dyDescent="0.3">
      <c r="N58" s="716"/>
    </row>
    <row r="59" spans="14:14" customFormat="1" hidden="1" x14ac:dyDescent="0.3">
      <c r="N59" s="716"/>
    </row>
    <row r="60" spans="14:14" customFormat="1" hidden="1" x14ac:dyDescent="0.3">
      <c r="N60" s="716"/>
    </row>
    <row r="61" spans="14:14" customFormat="1" hidden="1" x14ac:dyDescent="0.3">
      <c r="N61" s="716"/>
    </row>
    <row r="62" spans="14:14" customFormat="1" hidden="1" x14ac:dyDescent="0.3">
      <c r="N62" s="716"/>
    </row>
    <row r="63" spans="14:14" customFormat="1" hidden="1" x14ac:dyDescent="0.3">
      <c r="N63" s="716"/>
    </row>
    <row r="64" spans="14:14" customFormat="1" hidden="1" x14ac:dyDescent="0.3">
      <c r="N64" s="716"/>
    </row>
    <row r="65" spans="14:14" customFormat="1" hidden="1" x14ac:dyDescent="0.3">
      <c r="N65" s="716"/>
    </row>
    <row r="66" spans="14:14" customFormat="1" hidden="1" x14ac:dyDescent="0.3">
      <c r="N66" s="716"/>
    </row>
    <row r="67" spans="14:14" customFormat="1" hidden="1" x14ac:dyDescent="0.3">
      <c r="N67" s="716"/>
    </row>
    <row r="68" spans="14:14" customFormat="1" hidden="1" x14ac:dyDescent="0.3">
      <c r="N68" s="716"/>
    </row>
    <row r="69" spans="14:14" customFormat="1" hidden="1" x14ac:dyDescent="0.3">
      <c r="N69" s="716"/>
    </row>
    <row r="70" spans="14:14" customFormat="1" hidden="1" x14ac:dyDescent="0.3">
      <c r="N70" s="716"/>
    </row>
    <row r="71" spans="14:14" customFormat="1" hidden="1" x14ac:dyDescent="0.3">
      <c r="N71" s="716"/>
    </row>
    <row r="72" spans="14:14" customFormat="1" hidden="1" x14ac:dyDescent="0.3">
      <c r="N72" s="716"/>
    </row>
    <row r="73" spans="14:14" customFormat="1" hidden="1" x14ac:dyDescent="0.3">
      <c r="N73" s="716"/>
    </row>
    <row r="74" spans="14:14" customFormat="1" hidden="1" x14ac:dyDescent="0.3">
      <c r="N74" s="716"/>
    </row>
    <row r="75" spans="14:14" customFormat="1" hidden="1" x14ac:dyDescent="0.3">
      <c r="N75" s="716"/>
    </row>
    <row r="76" spans="14:14" customFormat="1" hidden="1" x14ac:dyDescent="0.3">
      <c r="N76" s="716"/>
    </row>
    <row r="77" spans="14:14" customFormat="1" hidden="1" x14ac:dyDescent="0.3">
      <c r="N77" s="716"/>
    </row>
    <row r="78" spans="14:14" customFormat="1" hidden="1" x14ac:dyDescent="0.3">
      <c r="N78" s="716"/>
    </row>
    <row r="79" spans="14:14" customFormat="1" hidden="1" x14ac:dyDescent="0.3">
      <c r="N79" s="716"/>
    </row>
    <row r="80" spans="14:14" customFormat="1" hidden="1" x14ac:dyDescent="0.3">
      <c r="N80" s="716"/>
    </row>
    <row r="81" spans="14:14" customFormat="1" hidden="1" x14ac:dyDescent="0.3">
      <c r="N81" s="716"/>
    </row>
    <row r="82" spans="14:14" customFormat="1" hidden="1" x14ac:dyDescent="0.3">
      <c r="N82" s="716"/>
    </row>
    <row r="83" spans="14:14" customFormat="1" hidden="1" x14ac:dyDescent="0.3">
      <c r="N83" s="716"/>
    </row>
    <row r="84" spans="14:14" customFormat="1" hidden="1" x14ac:dyDescent="0.3">
      <c r="N84" s="716"/>
    </row>
    <row r="85" spans="14:14" customFormat="1" hidden="1" x14ac:dyDescent="0.3">
      <c r="N85" s="716"/>
    </row>
    <row r="86" spans="14:14" customFormat="1" hidden="1" x14ac:dyDescent="0.3">
      <c r="N86" s="716"/>
    </row>
    <row r="87" spans="14:14" customFormat="1" hidden="1" x14ac:dyDescent="0.3">
      <c r="N87" s="716"/>
    </row>
    <row r="88" spans="14:14" customFormat="1" hidden="1" x14ac:dyDescent="0.3">
      <c r="N88" s="716"/>
    </row>
    <row r="89" spans="14:14" customFormat="1" hidden="1" x14ac:dyDescent="0.3">
      <c r="N89" s="716"/>
    </row>
    <row r="90" spans="14:14" customFormat="1" hidden="1" x14ac:dyDescent="0.3">
      <c r="N90" s="716"/>
    </row>
    <row r="91" spans="14:14" customFormat="1" hidden="1" x14ac:dyDescent="0.3">
      <c r="N91" s="716"/>
    </row>
    <row r="92" spans="14:14" customFormat="1" hidden="1" x14ac:dyDescent="0.3">
      <c r="N92" s="716"/>
    </row>
    <row r="93" spans="14:14" customFormat="1" hidden="1" x14ac:dyDescent="0.3">
      <c r="N93" s="716"/>
    </row>
    <row r="94" spans="14:14" customFormat="1" hidden="1" x14ac:dyDescent="0.3">
      <c r="N94" s="716"/>
    </row>
    <row r="95" spans="14:14" customFormat="1" hidden="1" x14ac:dyDescent="0.3">
      <c r="N95" s="716"/>
    </row>
    <row r="96" spans="14:14" customFormat="1" hidden="1" x14ac:dyDescent="0.3">
      <c r="N96" s="716"/>
    </row>
    <row r="97" spans="4:23" hidden="1" x14ac:dyDescent="0.3">
      <c r="D97"/>
      <c r="O97"/>
      <c r="P97"/>
      <c r="Q97"/>
      <c r="R97"/>
      <c r="W97"/>
    </row>
    <row r="98" spans="4:23" hidden="1" x14ac:dyDescent="0.3">
      <c r="D98"/>
      <c r="O98"/>
      <c r="P98"/>
      <c r="Q98"/>
      <c r="R98"/>
      <c r="W98"/>
    </row>
    <row r="99" spans="4:23" hidden="1" x14ac:dyDescent="0.3">
      <c r="D99"/>
      <c r="O99"/>
      <c r="P99"/>
      <c r="Q99"/>
      <c r="R99"/>
      <c r="W99"/>
    </row>
    <row r="100" spans="4:23" hidden="1" x14ac:dyDescent="0.3">
      <c r="D100"/>
      <c r="O100"/>
      <c r="P100"/>
      <c r="Q100"/>
      <c r="R100"/>
      <c r="W100"/>
    </row>
    <row r="101" spans="4:23" x14ac:dyDescent="0.3">
      <c r="D101"/>
      <c r="O101"/>
      <c r="P101"/>
      <c r="Q101"/>
      <c r="R101"/>
      <c r="W101"/>
    </row>
    <row r="102" spans="4:23" x14ac:dyDescent="0.3">
      <c r="D102"/>
      <c r="O102"/>
      <c r="P102"/>
      <c r="Q102"/>
      <c r="R102"/>
      <c r="W102"/>
    </row>
    <row r="103" spans="4:23" x14ac:dyDescent="0.3">
      <c r="D103"/>
      <c r="O103"/>
      <c r="P103"/>
      <c r="Q103"/>
      <c r="R103"/>
      <c r="W103"/>
    </row>
    <row r="104" spans="4:23" x14ac:dyDescent="0.3"/>
  </sheetData>
  <mergeCells count="28">
    <mergeCell ref="C18:O18"/>
    <mergeCell ref="C16:O16"/>
    <mergeCell ref="C14:O14"/>
    <mergeCell ref="C26:O26"/>
    <mergeCell ref="C27:O27"/>
    <mergeCell ref="C23:D23"/>
    <mergeCell ref="C25:D25"/>
    <mergeCell ref="C32:C35"/>
    <mergeCell ref="C37:C43"/>
    <mergeCell ref="B6:C6"/>
    <mergeCell ref="C10:M10"/>
    <mergeCell ref="C12:M12"/>
    <mergeCell ref="C9:D9"/>
    <mergeCell ref="C11:D11"/>
    <mergeCell ref="C13:D13"/>
    <mergeCell ref="C15:D15"/>
    <mergeCell ref="C17:D17"/>
    <mergeCell ref="C21:D21"/>
    <mergeCell ref="C19:D19"/>
    <mergeCell ref="C20:O20"/>
    <mergeCell ref="C22:M22"/>
    <mergeCell ref="C24:M24"/>
    <mergeCell ref="C30:M30"/>
    <mergeCell ref="C29:E29"/>
    <mergeCell ref="J28:K28"/>
    <mergeCell ref="J29:K29"/>
    <mergeCell ref="F28:I28"/>
    <mergeCell ref="F29:I29"/>
  </mergeCells>
  <hyperlinks>
    <hyperlink ref="W6" r:id="rId1" xr:uid="{00000000-0004-0000-0500-000001000000}"/>
    <hyperlink ref="X6" r:id="rId2" xr:uid="{00000000-0004-0000-0500-000002000000}"/>
  </hyperlinks>
  <printOptions horizontalCentered="1" verticalCentered="1"/>
  <pageMargins left="0" right="0" top="0" bottom="0" header="0" footer="0"/>
  <pageSetup scale="64"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7"/>
  </sheetPr>
  <dimension ref="A1:AB160"/>
  <sheetViews>
    <sheetView zoomScale="70" zoomScaleNormal="70" workbookViewId="0">
      <selection activeCell="C28" sqref="C28"/>
    </sheetView>
  </sheetViews>
  <sheetFormatPr defaultColWidth="9.109375" defaultRowHeight="14.4" zeroHeight="1" x14ac:dyDescent="0.3"/>
  <cols>
    <col min="1" max="1" width="4.109375" style="9" customWidth="1"/>
    <col min="2" max="2" width="5.33203125" style="9" customWidth="1"/>
    <col min="3" max="3" width="55.88671875" style="9" customWidth="1"/>
    <col min="4" max="17" width="18.21875" style="9" customWidth="1"/>
    <col min="18" max="21" width="18.21875" customWidth="1"/>
    <col min="22" max="22" width="18.21875" style="9" customWidth="1"/>
    <col min="23" max="16384" width="9.109375" style="9"/>
  </cols>
  <sheetData>
    <row r="1" spans="2:28" ht="15" thickBot="1" x14ac:dyDescent="0.35"/>
    <row r="2" spans="2:28" ht="18.600000000000001" thickBot="1" x14ac:dyDescent="0.4">
      <c r="B2" s="163" t="str">
        <f>IF(Language=English, Y2, Z2)</f>
        <v>Assumptions used for impact calculations</v>
      </c>
      <c r="C2" s="164"/>
      <c r="D2" s="164"/>
      <c r="E2" s="164"/>
      <c r="F2" s="164"/>
      <c r="G2" s="164"/>
      <c r="H2" s="164"/>
      <c r="I2" s="164"/>
      <c r="J2" s="164"/>
      <c r="K2" s="165"/>
      <c r="L2" s="165"/>
      <c r="M2" s="166"/>
      <c r="O2" s="3"/>
      <c r="Y2" s="9" t="s">
        <v>502</v>
      </c>
      <c r="Z2" s="9" t="s">
        <v>503</v>
      </c>
    </row>
    <row r="3" spans="2:28" ht="15.6" x14ac:dyDescent="0.3">
      <c r="B3" s="94"/>
      <c r="C3" s="5"/>
      <c r="K3" s="60"/>
      <c r="L3" s="60"/>
      <c r="O3" s="3"/>
    </row>
    <row r="4" spans="2:28" ht="18" x14ac:dyDescent="0.3">
      <c r="B4" s="94"/>
      <c r="C4" s="199" t="str">
        <f t="shared" ref="C4:C12" si="0">IF(Language=English, Y4, Z4)</f>
        <v>Region</v>
      </c>
      <c r="D4" s="200" t="e">
        <f>'Review FPET Inputs'!$D$9</f>
        <v>#N/A</v>
      </c>
      <c r="O4" s="95"/>
      <c r="Y4" s="1" t="s">
        <v>235</v>
      </c>
      <c r="Z4" s="9" t="s">
        <v>236</v>
      </c>
    </row>
    <row r="5" spans="2:28" ht="15.6" x14ac:dyDescent="0.3">
      <c r="B5" s="94"/>
      <c r="C5" s="19" t="str">
        <f t="shared" si="0"/>
        <v>Percentage of unintended pregnancies terminated by abortion</v>
      </c>
      <c r="D5" s="169" t="e">
        <f>'Assumption Review'!E108</f>
        <v>#N/A</v>
      </c>
      <c r="E5" s="16" t="str">
        <f>IF(Language=English, AA5, AB5)</f>
        <v>Regional</v>
      </c>
      <c r="K5" s="55"/>
      <c r="O5" s="3"/>
      <c r="Y5" s="1" t="s">
        <v>222</v>
      </c>
      <c r="Z5" s="9" t="s">
        <v>230</v>
      </c>
      <c r="AA5" s="9" t="s">
        <v>442</v>
      </c>
      <c r="AB5" s="9" t="s">
        <v>443</v>
      </c>
    </row>
    <row r="6" spans="2:28" ht="15.6" x14ac:dyDescent="0.3">
      <c r="B6" s="94"/>
      <c r="C6" s="19" t="str">
        <f t="shared" si="0"/>
        <v>Percent of abortions that are unsafe</v>
      </c>
      <c r="D6" s="170" t="e">
        <f>'Assumption Review'!E109</f>
        <v>#N/A</v>
      </c>
      <c r="E6" s="16" t="str">
        <f>IF(Language=English, AA6, AB6)</f>
        <v>Regional</v>
      </c>
      <c r="L6" s="3"/>
      <c r="M6" s="96"/>
      <c r="N6" s="3"/>
      <c r="O6" s="96"/>
      <c r="P6" s="95"/>
      <c r="Y6" s="1" t="s">
        <v>444</v>
      </c>
      <c r="Z6" s="9" t="s">
        <v>232</v>
      </c>
      <c r="AA6" s="9" t="s">
        <v>442</v>
      </c>
      <c r="AB6" s="9" t="s">
        <v>443</v>
      </c>
    </row>
    <row r="7" spans="2:28" ht="15.6" x14ac:dyDescent="0.3">
      <c r="B7" s="94"/>
      <c r="C7" s="19" t="str">
        <f t="shared" si="0"/>
        <v>Mortality from unsafe abortion (per 100,000)</v>
      </c>
      <c r="D7" s="171" t="e">
        <f>'Assumption Review'!E110</f>
        <v>#N/A</v>
      </c>
      <c r="E7" s="16" t="str">
        <f>IF(Language=English, AA7, AB7)</f>
        <v>regional ratio applied to country MMR</v>
      </c>
      <c r="L7" s="3"/>
      <c r="M7" s="96"/>
      <c r="N7" s="3"/>
      <c r="O7" s="96"/>
      <c r="P7" s="95"/>
      <c r="Y7" s="1" t="s">
        <v>445</v>
      </c>
      <c r="Z7" s="9" t="s">
        <v>231</v>
      </c>
      <c r="AA7" s="9" t="s">
        <v>446</v>
      </c>
      <c r="AB7" s="9" t="s">
        <v>447</v>
      </c>
    </row>
    <row r="8" spans="2:28" ht="15.6" x14ac:dyDescent="0.3">
      <c r="B8" s="94"/>
      <c r="C8" s="19" t="str">
        <f t="shared" si="0"/>
        <v>Mortality from safe abortion (per 100,000)</v>
      </c>
      <c r="D8" s="171">
        <f>'Assumption Review'!E111</f>
        <v>2</v>
      </c>
      <c r="E8" s="16" t="str">
        <f>IF(Language=English, AA8, AB8)</f>
        <v>global</v>
      </c>
      <c r="L8" s="3"/>
      <c r="M8" s="96"/>
      <c r="N8" s="3"/>
      <c r="O8" s="96"/>
      <c r="P8" s="95"/>
      <c r="Y8" s="1" t="s">
        <v>448</v>
      </c>
      <c r="Z8" s="9" t="s">
        <v>449</v>
      </c>
      <c r="AA8" s="9" t="s">
        <v>450</v>
      </c>
      <c r="AB8" s="9" t="s">
        <v>451</v>
      </c>
    </row>
    <row r="9" spans="2:28" ht="15.6" x14ac:dyDescent="0.3">
      <c r="B9" s="94"/>
      <c r="C9" s="19" t="str">
        <f t="shared" si="0"/>
        <v>MMR</v>
      </c>
      <c r="D9" s="172" t="e">
        <f>'Assumption Review'!E112</f>
        <v>#N/A</v>
      </c>
      <c r="E9" s="16" t="str">
        <f>IF(Language=English, AA9, AB9)</f>
        <v xml:space="preserve">WHO (recommended), country-specific, any change must be approved. </v>
      </c>
      <c r="L9" s="3"/>
      <c r="M9" s="96"/>
      <c r="N9" s="3"/>
      <c r="O9" s="96"/>
      <c r="Y9" s="1" t="s">
        <v>420</v>
      </c>
      <c r="Z9" s="9" t="s">
        <v>421</v>
      </c>
      <c r="AA9" s="9" t="s">
        <v>756</v>
      </c>
      <c r="AB9" s="9" t="s">
        <v>755</v>
      </c>
    </row>
    <row r="10" spans="2:28" ht="15.6" x14ac:dyDescent="0.3">
      <c r="B10" s="94"/>
      <c r="C10" s="19" t="str">
        <f t="shared" si="0"/>
        <v>Percent of pregnancies</v>
      </c>
      <c r="D10" s="173"/>
      <c r="E10" s="16"/>
      <c r="L10" s="55"/>
      <c r="M10" s="55"/>
      <c r="N10" s="55"/>
      <c r="O10" s="55"/>
      <c r="P10" s="3"/>
      <c r="Q10" s="3"/>
      <c r="Y10" s="1" t="s">
        <v>454</v>
      </c>
      <c r="Z10" s="9" t="s">
        <v>455</v>
      </c>
    </row>
    <row r="11" spans="2:28" ht="15.6" x14ac:dyDescent="0.3">
      <c r="B11" s="94"/>
      <c r="C11" s="97" t="str">
        <f t="shared" si="0"/>
        <v xml:space="preserve">  wanted later</v>
      </c>
      <c r="D11" s="174" t="e">
        <f>'Assumption Review'!E114</f>
        <v>#N/A</v>
      </c>
      <c r="E11" s="16" t="str">
        <f>IF(Language=English, AA11, AB11)</f>
        <v>Country input</v>
      </c>
      <c r="I11" s="22"/>
      <c r="J11" s="98"/>
      <c r="K11" s="22"/>
      <c r="N11" s="3"/>
      <c r="P11" s="99"/>
      <c r="Q11" s="99"/>
      <c r="Y11" s="1" t="s">
        <v>456</v>
      </c>
      <c r="Z11" s="9" t="s">
        <v>418</v>
      </c>
      <c r="AA11" s="9" t="s">
        <v>452</v>
      </c>
      <c r="AB11" s="9" t="s">
        <v>453</v>
      </c>
    </row>
    <row r="12" spans="2:28" ht="15.6" x14ac:dyDescent="0.3">
      <c r="B12" s="94"/>
      <c r="C12" s="97" t="str">
        <f t="shared" si="0"/>
        <v>wanted no more</v>
      </c>
      <c r="D12" s="174" t="e">
        <f>'Assumption Review'!E115</f>
        <v>#N/A</v>
      </c>
      <c r="E12" s="16" t="str">
        <f>IF(Language=English, AA12, AB12)</f>
        <v>Country input</v>
      </c>
      <c r="I12" s="100"/>
      <c r="J12" s="95"/>
      <c r="K12" s="3"/>
      <c r="N12" s="3"/>
      <c r="Y12" s="1" t="s">
        <v>457</v>
      </c>
      <c r="Z12" s="9" t="s">
        <v>419</v>
      </c>
      <c r="AA12" s="9" t="s">
        <v>452</v>
      </c>
      <c r="AB12" s="9" t="s">
        <v>453</v>
      </c>
    </row>
    <row r="13" spans="2:28" ht="15.6" x14ac:dyDescent="0.3">
      <c r="B13" s="94"/>
      <c r="C13" s="19"/>
      <c r="D13" s="175"/>
      <c r="E13" s="16"/>
      <c r="I13" s="101"/>
      <c r="J13" s="55"/>
      <c r="K13" s="55"/>
      <c r="Y13" s="1"/>
    </row>
    <row r="14" spans="2:28" ht="15.6" x14ac:dyDescent="0.3">
      <c r="B14" s="94"/>
      <c r="C14" s="19" t="str">
        <f>IF(Language=English, Y14, Z14)</f>
        <v>Abortions</v>
      </c>
      <c r="D14" s="175" t="e">
        <f>D24*D5</f>
        <v>#N/A</v>
      </c>
      <c r="E14" s="16" t="str">
        <f>IF(Language=English, AA14, AB14)</f>
        <v>used for MMR: live birth</v>
      </c>
      <c r="I14" s="98"/>
      <c r="J14" s="3"/>
      <c r="K14" s="3"/>
      <c r="L14" s="95"/>
      <c r="M14" s="3"/>
      <c r="N14" s="55"/>
      <c r="O14" s="3"/>
      <c r="Y14" s="1" t="s">
        <v>458</v>
      </c>
      <c r="Z14" s="9" t="s">
        <v>459</v>
      </c>
      <c r="AA14" s="9" t="s">
        <v>460</v>
      </c>
      <c r="AB14" s="9" t="s">
        <v>461</v>
      </c>
    </row>
    <row r="15" spans="2:28" ht="15.6" x14ac:dyDescent="0.3">
      <c r="B15" s="94"/>
      <c r="C15" s="19" t="str">
        <f>IF(Language=English, Y15, Z15)</f>
        <v>Miscarriages</v>
      </c>
      <c r="D15" s="176" t="e">
        <f>D23*'Pregnancy and failure rates'!B6</f>
        <v>#N/A</v>
      </c>
      <c r="E15" s="16" t="str">
        <f>IF(Language=English, AA15, AB15)</f>
        <v>used for MMR: live birth</v>
      </c>
      <c r="I15" s="98"/>
      <c r="J15" s="3"/>
      <c r="K15" s="3"/>
      <c r="L15" s="95"/>
      <c r="M15" s="3"/>
      <c r="N15" s="55"/>
      <c r="O15" s="3"/>
      <c r="Y15" s="1" t="s">
        <v>462</v>
      </c>
      <c r="Z15" s="9" t="s">
        <v>463</v>
      </c>
      <c r="AA15" s="9" t="s">
        <v>460</v>
      </c>
      <c r="AB15" s="9" t="s">
        <v>461</v>
      </c>
    </row>
    <row r="16" spans="2:28" ht="15.6" x14ac:dyDescent="0.3">
      <c r="B16" s="94"/>
      <c r="C16" s="19" t="str">
        <f>IF(Language=English, Y16, Z16)</f>
        <v>MMR: live births</v>
      </c>
      <c r="D16" s="177" t="e">
        <f>(D9*D22-D8*D14*(1-D6)-D7*D14*D6-D9*D15)/D22</f>
        <v>#N/A</v>
      </c>
      <c r="E16" s="16" t="str">
        <f>IF(Language=English, AA16, AB16)</f>
        <v>Calculated</v>
      </c>
      <c r="I16" s="98"/>
      <c r="J16" s="3"/>
      <c r="K16" s="3"/>
      <c r="L16" s="95"/>
      <c r="M16" s="3"/>
      <c r="N16" s="55"/>
      <c r="O16" s="3"/>
      <c r="Y16" s="1" t="s">
        <v>464</v>
      </c>
      <c r="Z16" s="9" t="s">
        <v>465</v>
      </c>
      <c r="AA16" s="9" t="s">
        <v>466</v>
      </c>
      <c r="AB16" s="9" t="s">
        <v>467</v>
      </c>
    </row>
    <row r="17" spans="2:28" ht="15.6" x14ac:dyDescent="0.3">
      <c r="B17" s="94"/>
      <c r="F17" s="3"/>
      <c r="I17" s="3"/>
      <c r="J17" s="3"/>
      <c r="K17" s="3"/>
      <c r="L17" s="3"/>
      <c r="M17" s="3"/>
      <c r="N17" s="55"/>
      <c r="O17" s="3"/>
    </row>
    <row r="18" spans="2:28" ht="15.6" x14ac:dyDescent="0.3">
      <c r="B18" s="94"/>
      <c r="F18" s="95"/>
      <c r="I18" s="98"/>
      <c r="J18" s="98"/>
      <c r="K18" s="98"/>
      <c r="L18" s="3"/>
      <c r="M18" s="98"/>
      <c r="N18" s="98"/>
      <c r="O18" s="98"/>
    </row>
    <row r="19" spans="2:28" ht="16.2" thickBot="1" x14ac:dyDescent="0.35">
      <c r="B19" s="94"/>
      <c r="I19" s="101"/>
      <c r="J19" s="55"/>
      <c r="M19" s="55"/>
      <c r="O19" s="3"/>
    </row>
    <row r="20" spans="2:28" ht="18.600000000000001" thickBot="1" x14ac:dyDescent="0.4">
      <c r="B20" s="163" t="str">
        <f>IF(Language=English, Y20, Z20)</f>
        <v>Calculations:</v>
      </c>
      <c r="C20" s="164"/>
      <c r="D20" s="164"/>
      <c r="E20" s="164"/>
      <c r="F20" s="164"/>
      <c r="G20" s="164"/>
      <c r="H20" s="164"/>
      <c r="I20" s="164"/>
      <c r="J20" s="164"/>
      <c r="K20" s="165"/>
      <c r="L20" s="165"/>
      <c r="M20" s="166"/>
      <c r="Y20" s="1" t="s">
        <v>468</v>
      </c>
      <c r="Z20" s="1" t="s">
        <v>469</v>
      </c>
    </row>
    <row r="21" spans="2:28" x14ac:dyDescent="0.3">
      <c r="D21" s="167">
        <v>2012</v>
      </c>
      <c r="E21" s="167">
        <v>2013</v>
      </c>
      <c r="F21" s="167">
        <v>2014</v>
      </c>
      <c r="G21" s="167">
        <v>2015</v>
      </c>
      <c r="H21" s="167">
        <v>2016</v>
      </c>
      <c r="I21" s="167">
        <v>2017</v>
      </c>
      <c r="J21" s="167">
        <v>2018</v>
      </c>
      <c r="K21" s="167">
        <v>2019</v>
      </c>
      <c r="L21" s="167">
        <v>2020</v>
      </c>
      <c r="M21" s="167">
        <v>2021</v>
      </c>
      <c r="N21" s="167">
        <v>2022</v>
      </c>
      <c r="O21" s="167">
        <v>2023</v>
      </c>
      <c r="P21" s="167">
        <v>2024</v>
      </c>
      <c r="Q21" s="167">
        <v>2025</v>
      </c>
      <c r="R21" s="167">
        <v>2026</v>
      </c>
      <c r="S21" s="167">
        <v>2027</v>
      </c>
      <c r="T21" s="167">
        <v>2028</v>
      </c>
      <c r="U21" s="167">
        <v>2029</v>
      </c>
      <c r="V21" s="167">
        <v>2030</v>
      </c>
      <c r="Y21"/>
      <c r="Z21"/>
      <c r="AA21"/>
      <c r="AB21"/>
    </row>
    <row r="22" spans="2:28" x14ac:dyDescent="0.3">
      <c r="C22" s="1" t="str">
        <f>IF(Language=English, Y22, Z22)</f>
        <v>Live births (from input)</v>
      </c>
      <c r="D22" s="168" t="e">
        <f>'Assumption Review'!E31</f>
        <v>#N/A</v>
      </c>
      <c r="E22" s="168" t="e">
        <f>'Assumption Review'!F31</f>
        <v>#N/A</v>
      </c>
      <c r="F22" s="168" t="e">
        <f>'Assumption Review'!G31</f>
        <v>#N/A</v>
      </c>
      <c r="G22" s="168" t="e">
        <f>'Assumption Review'!H31</f>
        <v>#N/A</v>
      </c>
      <c r="H22" s="168" t="e">
        <f>'Assumption Review'!I31</f>
        <v>#N/A</v>
      </c>
      <c r="I22" s="168" t="e">
        <f>'Assumption Review'!J31</f>
        <v>#N/A</v>
      </c>
      <c r="J22" s="168" t="e">
        <f>'Assumption Review'!K31</f>
        <v>#N/A</v>
      </c>
      <c r="K22" s="168" t="e">
        <f>'Assumption Review'!L31</f>
        <v>#N/A</v>
      </c>
      <c r="L22" s="168" t="e">
        <f>'Assumption Review'!M31</f>
        <v>#N/A</v>
      </c>
      <c r="M22" s="168" t="e">
        <f>'Assumption Review'!N31</f>
        <v>#N/A</v>
      </c>
      <c r="N22" s="168" t="e">
        <f>'Assumption Review'!O31</f>
        <v>#N/A</v>
      </c>
      <c r="O22" s="168" t="e">
        <f>'Assumption Review'!P31</f>
        <v>#N/A</v>
      </c>
      <c r="P22" s="168" t="e">
        <f>'Assumption Review'!Q31</f>
        <v>#N/A</v>
      </c>
      <c r="Q22" s="168" t="e">
        <f>'Assumption Review'!R31</f>
        <v>#N/A</v>
      </c>
      <c r="R22" s="168" t="e">
        <f>'Assumption Review'!S31</f>
        <v>#N/A</v>
      </c>
      <c r="S22" s="168" t="e">
        <f>'Assumption Review'!T31</f>
        <v>#N/A</v>
      </c>
      <c r="T22" s="168" t="e">
        <f>'Assumption Review'!U31</f>
        <v>#N/A</v>
      </c>
      <c r="U22" s="168" t="e">
        <f>'Assumption Review'!V31</f>
        <v>#N/A</v>
      </c>
      <c r="V22" s="168" t="e">
        <f>'Assumption Review'!W31</f>
        <v>#N/A</v>
      </c>
      <c r="Y22" s="9" t="s">
        <v>470</v>
      </c>
      <c r="Z22" s="9" t="s">
        <v>411</v>
      </c>
    </row>
    <row r="23" spans="2:28" x14ac:dyDescent="0.3">
      <c r="C23" s="1" t="str">
        <f>IF(Language=English, Y23, Z23)</f>
        <v>Estimated number of pregnancies</v>
      </c>
      <c r="D23" s="168" t="e">
        <f>D24+((D22*(1-SUM($D$11:$D$12)))/(1-'Pregnancy and failure rates'!$B$6))</f>
        <v>#N/A</v>
      </c>
      <c r="E23" s="168" t="e">
        <f>E24+((E22*(1-SUM($D$11:$D$12)))/(1-'Pregnancy and failure rates'!$B$6))</f>
        <v>#N/A</v>
      </c>
      <c r="F23" s="168" t="e">
        <f>F24+((F22*(1-SUM($D$11:$D$12)))/(1-'Pregnancy and failure rates'!$B$6))</f>
        <v>#N/A</v>
      </c>
      <c r="G23" s="168" t="e">
        <f>G24+((G22*(1-SUM($D$11:$D$12)))/(1-'Pregnancy and failure rates'!$B$6))</f>
        <v>#N/A</v>
      </c>
      <c r="H23" s="168" t="e">
        <f>H24+((H22*(1-SUM($D$11:$D$12)))/(1-'Pregnancy and failure rates'!$B$6))</f>
        <v>#N/A</v>
      </c>
      <c r="I23" s="168" t="e">
        <f>I24+((I22*(1-SUM($D$11:$D$12)))/(1-'Pregnancy and failure rates'!$B$6))</f>
        <v>#N/A</v>
      </c>
      <c r="J23" s="168" t="e">
        <f>J24+((J22*(1-SUM($D$11:$D$12)))/(1-'Pregnancy and failure rates'!$B$6))</f>
        <v>#N/A</v>
      </c>
      <c r="K23" s="168" t="e">
        <f>K24+((K22*(1-SUM($D$11:$D$12)))/(1-'Pregnancy and failure rates'!$B$6))</f>
        <v>#N/A</v>
      </c>
      <c r="L23" s="168" t="e">
        <f>L24+((L22*(1-SUM($D$11:$D$12)))/(1-'Pregnancy and failure rates'!$B$6))</f>
        <v>#N/A</v>
      </c>
      <c r="M23" s="168" t="e">
        <f>M24+((M22*(1-SUM($D$11:$D$12)))/(1-'Pregnancy and failure rates'!$B$6))</f>
        <v>#N/A</v>
      </c>
      <c r="N23" s="168" t="e">
        <f>N24+((N22*(1-SUM($D$11:$D$12)))/(1-'Pregnancy and failure rates'!$B$6))</f>
        <v>#N/A</v>
      </c>
      <c r="O23" s="168" t="e">
        <f>O24+((O22*(1-SUM($D$11:$D$12)))/(1-'Pregnancy and failure rates'!$B$6))</f>
        <v>#N/A</v>
      </c>
      <c r="P23" s="168" t="e">
        <f>P24+((P22*(1-SUM($D$11:$D$12)))/(1-'Pregnancy and failure rates'!$B$6))</f>
        <v>#N/A</v>
      </c>
      <c r="Q23" s="168" t="e">
        <f>Q24+((Q22*(1-SUM($D$11:$D$12)))/(1-'Pregnancy and failure rates'!$B$6))</f>
        <v>#N/A</v>
      </c>
      <c r="R23" s="168" t="e">
        <f>R24+((R22*(1-SUM($D$11:$D$12)))/(1-'Pregnancy and failure rates'!$B$6))</f>
        <v>#N/A</v>
      </c>
      <c r="S23" s="168" t="e">
        <f>S24+((S22*(1-SUM($D$11:$D$12)))/(1-'Pregnancy and failure rates'!$B$6))</f>
        <v>#N/A</v>
      </c>
      <c r="T23" s="168" t="e">
        <f>T24+((T22*(1-SUM($D$11:$D$12)))/(1-'Pregnancy and failure rates'!$B$6))</f>
        <v>#N/A</v>
      </c>
      <c r="U23" s="168" t="e">
        <f>U24+((U22*(1-SUM($D$11:$D$12)))/(1-'Pregnancy and failure rates'!$B$6))</f>
        <v>#N/A</v>
      </c>
      <c r="V23" s="168" t="e">
        <f>V24+((V22*(1-SUM($D$11:$D$12)))/(1-'Pregnancy and failure rates'!$B$6))</f>
        <v>#N/A</v>
      </c>
      <c r="Y23" s="9" t="s">
        <v>471</v>
      </c>
      <c r="Z23" s="9" t="s">
        <v>472</v>
      </c>
    </row>
    <row r="24" spans="2:28" s="62" customFormat="1" x14ac:dyDescent="0.3">
      <c r="C24" s="181" t="str">
        <f>IF(Language=English, Y24, Z24)</f>
        <v>Number of unintended pregnancies</v>
      </c>
      <c r="D24" s="182" t="e">
        <f>(D22*SUM($D$11:$D$12))/(1-$D$5-'Pregnancy and failure rates'!$B$6)</f>
        <v>#N/A</v>
      </c>
      <c r="E24" s="182" t="e">
        <f>(E22*SUM($D$11:$D$12))/(1-$D$5-'Pregnancy and failure rates'!$B$6)</f>
        <v>#N/A</v>
      </c>
      <c r="F24" s="182" t="e">
        <f>(F22*SUM($D$11:$D$12))/(1-$D$5-'Pregnancy and failure rates'!$B$6)</f>
        <v>#N/A</v>
      </c>
      <c r="G24" s="182" t="e">
        <f>(G22*SUM($D$11:$D$12))/(1-$D$5-'Pregnancy and failure rates'!$B$6)</f>
        <v>#N/A</v>
      </c>
      <c r="H24" s="182" t="e">
        <f>(H22*SUM($D$11:$D$12))/(1-$D$5-'Pregnancy and failure rates'!$B$6)</f>
        <v>#N/A</v>
      </c>
      <c r="I24" s="182" t="e">
        <f>(I22*SUM($D$11:$D$12))/(1-$D$5-'Pregnancy and failure rates'!$B$6)</f>
        <v>#N/A</v>
      </c>
      <c r="J24" s="182" t="e">
        <f>(J22*SUM($D$11:$D$12))/(1-$D$5-'Pregnancy and failure rates'!$B$6)</f>
        <v>#N/A</v>
      </c>
      <c r="K24" s="182" t="e">
        <f>(K22*SUM($D$11:$D$12))/(1-$D$5-'Pregnancy and failure rates'!$B$6)</f>
        <v>#N/A</v>
      </c>
      <c r="L24" s="182" t="e">
        <f>(L22*SUM($D$11:$D$12))/(1-$D$5-'Pregnancy and failure rates'!$B$6)</f>
        <v>#N/A</v>
      </c>
      <c r="M24" s="182" t="e">
        <f>(M22*SUM($D$11:$D$12))/(1-$D$5-'Pregnancy and failure rates'!$B$6)</f>
        <v>#N/A</v>
      </c>
      <c r="N24" s="182" t="e">
        <f>(N22*SUM($D$11:$D$12))/(1-$D$5-'Pregnancy and failure rates'!$B$6)</f>
        <v>#N/A</v>
      </c>
      <c r="O24" s="182" t="e">
        <f>(O22*SUM($D$11:$D$12))/(1-$D$5-'Pregnancy and failure rates'!$B$6)</f>
        <v>#N/A</v>
      </c>
      <c r="P24" s="182" t="e">
        <f>(P22*SUM($D$11:$D$12))/(1-$D$5-'Pregnancy and failure rates'!$B$6)</f>
        <v>#N/A</v>
      </c>
      <c r="Q24" s="182" t="e">
        <f>(Q22*SUM($D$11:$D$12))/(1-$D$5-'Pregnancy and failure rates'!$B$6)</f>
        <v>#N/A</v>
      </c>
      <c r="R24" s="182" t="e">
        <f>(R22*SUM($D$11:$D$12))/(1-$D$5-'Pregnancy and failure rates'!$B$6)</f>
        <v>#N/A</v>
      </c>
      <c r="S24" s="182" t="e">
        <f>(S22*SUM($D$11:$D$12))/(1-$D$5-'Pregnancy and failure rates'!$B$6)</f>
        <v>#N/A</v>
      </c>
      <c r="T24" s="182" t="e">
        <f>(T22*SUM($D$11:$D$12))/(1-$D$5-'Pregnancy and failure rates'!$B$6)</f>
        <v>#N/A</v>
      </c>
      <c r="U24" s="182" t="e">
        <f>(U22*SUM($D$11:$D$12))/(1-$D$5-'Pregnancy and failure rates'!$B$6)</f>
        <v>#N/A</v>
      </c>
      <c r="V24" s="182" t="e">
        <f>(V22*SUM($D$11:$D$12))/(1-$D$5-'Pregnancy and failure rates'!$B$6)</f>
        <v>#N/A</v>
      </c>
      <c r="Y24" s="62" t="s">
        <v>9</v>
      </c>
      <c r="Z24" s="62" t="s">
        <v>473</v>
      </c>
    </row>
    <row r="25" spans="2:28" s="5" customFormat="1" x14ac:dyDescent="0.3">
      <c r="C25" s="376" t="str">
        <f>IF(Language=English, Y25, Z25)</f>
        <v>Total Users</v>
      </c>
      <c r="D25" s="377" t="e">
        <f>'Indicator Calculations'!G35</f>
        <v>#N/A</v>
      </c>
      <c r="E25" s="377" t="e">
        <f>'Indicator Calculations'!H35</f>
        <v>#N/A</v>
      </c>
      <c r="F25" s="377" t="e">
        <f>'Indicator Calculations'!I35</f>
        <v>#N/A</v>
      </c>
      <c r="G25" s="377" t="e">
        <f>'Indicator Calculations'!J35</f>
        <v>#N/A</v>
      </c>
      <c r="H25" s="377" t="e">
        <f>'Indicator Calculations'!K35</f>
        <v>#N/A</v>
      </c>
      <c r="I25" s="377" t="e">
        <f>'Indicator Calculations'!L35</f>
        <v>#N/A</v>
      </c>
      <c r="J25" s="377" t="e">
        <f>'Indicator Calculations'!M35</f>
        <v>#N/A</v>
      </c>
      <c r="K25" s="377" t="e">
        <f>'Indicator Calculations'!N35</f>
        <v>#N/A</v>
      </c>
      <c r="L25" s="377" t="e">
        <f>'Indicator Calculations'!O35</f>
        <v>#N/A</v>
      </c>
      <c r="M25" s="377" t="e">
        <f>'Indicator Calculations'!P35</f>
        <v>#N/A</v>
      </c>
      <c r="N25" s="377" t="e">
        <f>'Indicator Calculations'!Q35</f>
        <v>#N/A</v>
      </c>
      <c r="O25" s="377" t="e">
        <f>'Indicator Calculations'!R35</f>
        <v>#N/A</v>
      </c>
      <c r="P25" s="377" t="e">
        <f>'Indicator Calculations'!S35</f>
        <v>#N/A</v>
      </c>
      <c r="Q25" s="377" t="e">
        <f>'Indicator Calculations'!T35</f>
        <v>#N/A</v>
      </c>
      <c r="R25" s="377" t="e">
        <f>'Indicator Calculations'!U35</f>
        <v>#N/A</v>
      </c>
      <c r="S25" s="377" t="e">
        <f>'Indicator Calculations'!V35</f>
        <v>#N/A</v>
      </c>
      <c r="T25" s="377" t="e">
        <f>'Indicator Calculations'!W35</f>
        <v>#N/A</v>
      </c>
      <c r="U25" s="377" t="e">
        <f>'Indicator Calculations'!X35</f>
        <v>#N/A</v>
      </c>
      <c r="V25" s="377" t="e">
        <f>'Indicator Calculations'!Y35</f>
        <v>#N/A</v>
      </c>
      <c r="Y25" s="5" t="s">
        <v>687</v>
      </c>
      <c r="Z25" s="5" t="s">
        <v>742</v>
      </c>
    </row>
    <row r="26" spans="2:28" x14ac:dyDescent="0.3">
      <c r="I26" s="102"/>
      <c r="J26" s="55"/>
      <c r="K26" s="55"/>
      <c r="L26" s="3"/>
      <c r="M26" s="3"/>
      <c r="N26" s="3"/>
      <c r="O26" s="3"/>
      <c r="P26" s="3"/>
      <c r="Q26" s="3"/>
      <c r="R26" s="3"/>
      <c r="S26" s="3"/>
      <c r="T26" s="3"/>
      <c r="U26" s="3"/>
      <c r="V26" s="3"/>
    </row>
    <row r="27" spans="2:28" x14ac:dyDescent="0.3">
      <c r="C27" s="103" t="str">
        <f>IF(Language=English, Y27, Z27)</f>
        <v>Users by method:</v>
      </c>
      <c r="D27" s="104"/>
      <c r="E27" s="104"/>
      <c r="F27" s="104"/>
      <c r="G27" s="104"/>
      <c r="H27" s="104"/>
      <c r="I27" s="104"/>
      <c r="J27" s="104"/>
      <c r="K27" s="104"/>
      <c r="L27" s="104"/>
      <c r="M27" s="104"/>
      <c r="N27" s="104"/>
      <c r="O27" s="104"/>
      <c r="P27" s="104"/>
      <c r="Q27" s="104"/>
      <c r="R27" s="104"/>
      <c r="S27" s="104"/>
      <c r="T27" s="104"/>
      <c r="U27" s="104"/>
      <c r="V27" s="104"/>
      <c r="Y27" s="5" t="s">
        <v>474</v>
      </c>
      <c r="Z27" s="5" t="s">
        <v>475</v>
      </c>
    </row>
    <row r="28" spans="2:28" x14ac:dyDescent="0.3">
      <c r="C28" s="105" t="str">
        <f>'Assumption Review'!D93</f>
        <v>Female sterilization</v>
      </c>
      <c r="D28" s="3" t="e">
        <f>D$25*VLOOKUP($C28, 'Assumption Review'!$D$92:$W$100, MATCH(D$21,'Assumption Review'!$D$92:$W$92, 0), FALSE)</f>
        <v>#N/A</v>
      </c>
      <c r="E28" s="3" t="e">
        <f>E$25*VLOOKUP($C28, 'Assumption Review'!$D$92:$W$100, MATCH(E$21,'Assumption Review'!$D$92:$W$92, 0), FALSE)</f>
        <v>#N/A</v>
      </c>
      <c r="F28" s="3" t="e">
        <f>F$25*VLOOKUP($C28, 'Assumption Review'!$D$92:$W$100, MATCH(F$21,'Assumption Review'!$D$92:$W$92, 0), FALSE)</f>
        <v>#N/A</v>
      </c>
      <c r="G28" s="3" t="e">
        <f>G$25*VLOOKUP($C28, 'Assumption Review'!$D$92:$W$100, MATCH(G$21,'Assumption Review'!$D$92:$W$92, 0), FALSE)</f>
        <v>#N/A</v>
      </c>
      <c r="H28" s="3" t="e">
        <f>H$25*VLOOKUP($C28, 'Assumption Review'!$D$92:$W$100, MATCH(H$21,'Assumption Review'!$D$92:$W$92, 0), FALSE)</f>
        <v>#N/A</v>
      </c>
      <c r="I28" s="3" t="e">
        <f>I$25*VLOOKUP($C28, 'Assumption Review'!$D$92:$W$100, MATCH(I$21,'Assumption Review'!$D$92:$W$92, 0), FALSE)</f>
        <v>#N/A</v>
      </c>
      <c r="J28" s="3" t="e">
        <f>J$25*VLOOKUP($C28, 'Assumption Review'!$D$92:$W$100, MATCH(J$21,'Assumption Review'!$D$92:$W$92, 0), FALSE)</f>
        <v>#N/A</v>
      </c>
      <c r="K28" s="3" t="e">
        <f>K$25*VLOOKUP($C28, 'Assumption Review'!$D$92:$W$100, MATCH(K$21,'Assumption Review'!$D$92:$W$92, 0), FALSE)</f>
        <v>#N/A</v>
      </c>
      <c r="L28" s="3" t="e">
        <f>L$25*VLOOKUP($C28, 'Assumption Review'!$D$92:$W$100, MATCH(L$21,'Assumption Review'!$D$92:$W$92, 0), FALSE)</f>
        <v>#N/A</v>
      </c>
      <c r="M28" s="3" t="e">
        <f>M$25*VLOOKUP($C28, 'Assumption Review'!$D$92:$W$100, MATCH(M$21,'Assumption Review'!$D$92:$W$92, 0), FALSE)</f>
        <v>#N/A</v>
      </c>
      <c r="N28" s="3" t="e">
        <f>N$25*VLOOKUP($C28, 'Assumption Review'!$D$92:$W$100, MATCH(N$21,'Assumption Review'!$D$92:$W$92, 0), FALSE)</f>
        <v>#N/A</v>
      </c>
      <c r="O28" s="3" t="e">
        <f>O$25*VLOOKUP($C28, 'Assumption Review'!$D$92:$W$100, MATCH(O$21,'Assumption Review'!$D$92:$W$92, 0), FALSE)</f>
        <v>#N/A</v>
      </c>
      <c r="P28" s="3" t="e">
        <f>P$25*VLOOKUP($C28, 'Assumption Review'!$D$92:$W$100, MATCH(P$21,'Assumption Review'!$D$92:$W$92, 0), FALSE)</f>
        <v>#N/A</v>
      </c>
      <c r="Q28" s="3" t="e">
        <f>Q$25*VLOOKUP($C28, 'Assumption Review'!$D$92:$W$100, MATCH(Q$21,'Assumption Review'!$D$92:$W$92, 0), FALSE)</f>
        <v>#N/A</v>
      </c>
      <c r="R28" s="3" t="e">
        <f>R$25*VLOOKUP($C28, 'Assumption Review'!$D$92:$W$100, MATCH(R$21,'Assumption Review'!$D$92:$W$92, 0), FALSE)</f>
        <v>#N/A</v>
      </c>
      <c r="S28" s="3" t="e">
        <f>S$25*VLOOKUP($C28, 'Assumption Review'!$D$92:$W$100, MATCH(S$21,'Assumption Review'!$D$92:$W$92, 0), FALSE)</f>
        <v>#N/A</v>
      </c>
      <c r="T28" s="3" t="e">
        <f>T$25*VLOOKUP($C28, 'Assumption Review'!$D$92:$W$100, MATCH(T$21,'Assumption Review'!$D$92:$W$92, 0), FALSE)</f>
        <v>#N/A</v>
      </c>
      <c r="U28" s="3" t="e">
        <f>U$25*VLOOKUP($C28, 'Assumption Review'!$D$92:$W$100, MATCH(U$21,'Assumption Review'!$D$92:$W$92, 0), FALSE)</f>
        <v>#N/A</v>
      </c>
      <c r="V28" s="3" t="e">
        <f>V$25*VLOOKUP($C28, 'Assumption Review'!$D$92:$W$100, MATCH(V$21,'Assumption Review'!$D$92:$W$92, 0), FALSE)</f>
        <v>#N/A</v>
      </c>
    </row>
    <row r="29" spans="2:28" x14ac:dyDescent="0.3">
      <c r="C29" s="105" t="str">
        <f>'Assumption Review'!D94</f>
        <v>Male sterilization</v>
      </c>
      <c r="D29" s="3" t="e">
        <f>D$25*VLOOKUP($C29, 'Assumption Review'!$D$92:$W$100, MATCH(D$21,'Assumption Review'!$D$92:$W$92, 0), FALSE)</f>
        <v>#N/A</v>
      </c>
      <c r="E29" s="3" t="e">
        <f>E$25*VLOOKUP($C29, 'Assumption Review'!$D$92:$W$100, MATCH(E$21,'Assumption Review'!$D$92:$W$92, 0), FALSE)</f>
        <v>#N/A</v>
      </c>
      <c r="F29" s="3" t="e">
        <f>F$25*VLOOKUP($C29, 'Assumption Review'!$D$92:$W$100, MATCH(F$21,'Assumption Review'!$D$92:$W$92, 0), FALSE)</f>
        <v>#N/A</v>
      </c>
      <c r="G29" s="3" t="e">
        <f>G$25*VLOOKUP($C29, 'Assumption Review'!$D$92:$W$100, MATCH(G$21,'Assumption Review'!$D$92:$W$92, 0), FALSE)</f>
        <v>#N/A</v>
      </c>
      <c r="H29" s="3" t="e">
        <f>H$25*VLOOKUP($C29, 'Assumption Review'!$D$92:$W$100, MATCH(H$21,'Assumption Review'!$D$92:$W$92, 0), FALSE)</f>
        <v>#N/A</v>
      </c>
      <c r="I29" s="3" t="e">
        <f>I$25*VLOOKUP($C29, 'Assumption Review'!$D$92:$W$100, MATCH(I$21,'Assumption Review'!$D$92:$W$92, 0), FALSE)</f>
        <v>#N/A</v>
      </c>
      <c r="J29" s="3" t="e">
        <f>J$25*VLOOKUP($C29, 'Assumption Review'!$D$92:$W$100, MATCH(J$21,'Assumption Review'!$D$92:$W$92, 0), FALSE)</f>
        <v>#N/A</v>
      </c>
      <c r="K29" s="3" t="e">
        <f>K$25*VLOOKUP($C29, 'Assumption Review'!$D$92:$W$100, MATCH(K$21,'Assumption Review'!$D$92:$W$92, 0), FALSE)</f>
        <v>#N/A</v>
      </c>
      <c r="L29" s="3" t="e">
        <f>L$25*VLOOKUP($C29, 'Assumption Review'!$D$92:$W$100, MATCH(L$21,'Assumption Review'!$D$92:$W$92, 0), FALSE)</f>
        <v>#N/A</v>
      </c>
      <c r="M29" s="3" t="e">
        <f>M$25*VLOOKUP($C29, 'Assumption Review'!$D$92:$W$100, MATCH(M$21,'Assumption Review'!$D$92:$W$92, 0), FALSE)</f>
        <v>#N/A</v>
      </c>
      <c r="N29" s="3" t="e">
        <f>N$25*VLOOKUP($C29, 'Assumption Review'!$D$92:$W$100, MATCH(N$21,'Assumption Review'!$D$92:$W$92, 0), FALSE)</f>
        <v>#N/A</v>
      </c>
      <c r="O29" s="3" t="e">
        <f>O$25*VLOOKUP($C29, 'Assumption Review'!$D$92:$W$100, MATCH(O$21,'Assumption Review'!$D$92:$W$92, 0), FALSE)</f>
        <v>#N/A</v>
      </c>
      <c r="P29" s="3" t="e">
        <f>P$25*VLOOKUP($C29, 'Assumption Review'!$D$92:$W$100, MATCH(P$21,'Assumption Review'!$D$92:$W$92, 0), FALSE)</f>
        <v>#N/A</v>
      </c>
      <c r="Q29" s="3" t="e">
        <f>Q$25*VLOOKUP($C29, 'Assumption Review'!$D$92:$W$100, MATCH(Q$21,'Assumption Review'!$D$92:$W$92, 0), FALSE)</f>
        <v>#N/A</v>
      </c>
      <c r="R29" s="3" t="e">
        <f>R$25*VLOOKUP($C29, 'Assumption Review'!$D$92:$W$100, MATCH(R$21,'Assumption Review'!$D$92:$W$92, 0), FALSE)</f>
        <v>#N/A</v>
      </c>
      <c r="S29" s="3" t="e">
        <f>S$25*VLOOKUP($C29, 'Assumption Review'!$D$92:$W$100, MATCH(S$21,'Assumption Review'!$D$92:$W$92, 0), FALSE)</f>
        <v>#N/A</v>
      </c>
      <c r="T29" s="3" t="e">
        <f>T$25*VLOOKUP($C29, 'Assumption Review'!$D$92:$W$100, MATCH(T$21,'Assumption Review'!$D$92:$W$92, 0), FALSE)</f>
        <v>#N/A</v>
      </c>
      <c r="U29" s="3" t="e">
        <f>U$25*VLOOKUP($C29, 'Assumption Review'!$D$92:$W$100, MATCH(U$21,'Assumption Review'!$D$92:$W$92, 0), FALSE)</f>
        <v>#N/A</v>
      </c>
      <c r="V29" s="3" t="e">
        <f>V$25*VLOOKUP($C29, 'Assumption Review'!$D$92:$W$100, MATCH(V$21,'Assumption Review'!$D$92:$W$92, 0), FALSE)</f>
        <v>#N/A</v>
      </c>
    </row>
    <row r="30" spans="2:28" x14ac:dyDescent="0.3">
      <c r="C30" s="105" t="str">
        <f>'Assumption Review'!D95</f>
        <v>IUD</v>
      </c>
      <c r="D30" s="3" t="e">
        <f>D$25*VLOOKUP($C30, 'Assumption Review'!$D$92:$W$100, MATCH(D$21,'Assumption Review'!$D$92:$W$92, 0), FALSE)</f>
        <v>#N/A</v>
      </c>
      <c r="E30" s="3" t="e">
        <f>E$25*VLOOKUP($C30, 'Assumption Review'!$D$92:$W$100, MATCH(E$21,'Assumption Review'!$D$92:$W$92, 0), FALSE)</f>
        <v>#N/A</v>
      </c>
      <c r="F30" s="3" t="e">
        <f>F$25*VLOOKUP($C30, 'Assumption Review'!$D$92:$W$100, MATCH(F$21,'Assumption Review'!$D$92:$W$92, 0), FALSE)</f>
        <v>#N/A</v>
      </c>
      <c r="G30" s="3" t="e">
        <f>G$25*VLOOKUP($C30, 'Assumption Review'!$D$92:$W$100, MATCH(G$21,'Assumption Review'!$D$92:$W$92, 0), FALSE)</f>
        <v>#N/A</v>
      </c>
      <c r="H30" s="3" t="e">
        <f>H$25*VLOOKUP($C30, 'Assumption Review'!$D$92:$W$100, MATCH(H$21,'Assumption Review'!$D$92:$W$92, 0), FALSE)</f>
        <v>#N/A</v>
      </c>
      <c r="I30" s="3" t="e">
        <f>I$25*VLOOKUP($C30, 'Assumption Review'!$D$92:$W$100, MATCH(I$21,'Assumption Review'!$D$92:$W$92, 0), FALSE)</f>
        <v>#N/A</v>
      </c>
      <c r="J30" s="3" t="e">
        <f>J$25*VLOOKUP($C30, 'Assumption Review'!$D$92:$W$100, MATCH(J$21,'Assumption Review'!$D$92:$W$92, 0), FALSE)</f>
        <v>#N/A</v>
      </c>
      <c r="K30" s="3" t="e">
        <f>K$25*VLOOKUP($C30, 'Assumption Review'!$D$92:$W$100, MATCH(K$21,'Assumption Review'!$D$92:$W$92, 0), FALSE)</f>
        <v>#N/A</v>
      </c>
      <c r="L30" s="3" t="e">
        <f>L$25*VLOOKUP($C30, 'Assumption Review'!$D$92:$W$100, MATCH(L$21,'Assumption Review'!$D$92:$W$92, 0), FALSE)</f>
        <v>#N/A</v>
      </c>
      <c r="M30" s="3" t="e">
        <f>M$25*VLOOKUP($C30, 'Assumption Review'!$D$92:$W$100, MATCH(M$21,'Assumption Review'!$D$92:$W$92, 0), FALSE)</f>
        <v>#N/A</v>
      </c>
      <c r="N30" s="3" t="e">
        <f>N$25*VLOOKUP($C30, 'Assumption Review'!$D$92:$W$100, MATCH(N$21,'Assumption Review'!$D$92:$W$92, 0), FALSE)</f>
        <v>#N/A</v>
      </c>
      <c r="O30" s="3" t="e">
        <f>O$25*VLOOKUP($C30, 'Assumption Review'!$D$92:$W$100, MATCH(O$21,'Assumption Review'!$D$92:$W$92, 0), FALSE)</f>
        <v>#N/A</v>
      </c>
      <c r="P30" s="3" t="e">
        <f>P$25*VLOOKUP($C30, 'Assumption Review'!$D$92:$W$100, MATCH(P$21,'Assumption Review'!$D$92:$W$92, 0), FALSE)</f>
        <v>#N/A</v>
      </c>
      <c r="Q30" s="3" t="e">
        <f>Q$25*VLOOKUP($C30, 'Assumption Review'!$D$92:$W$100, MATCH(Q$21,'Assumption Review'!$D$92:$W$92, 0), FALSE)</f>
        <v>#N/A</v>
      </c>
      <c r="R30" s="3" t="e">
        <f>R$25*VLOOKUP($C30, 'Assumption Review'!$D$92:$W$100, MATCH(R$21,'Assumption Review'!$D$92:$W$92, 0), FALSE)</f>
        <v>#N/A</v>
      </c>
      <c r="S30" s="3" t="e">
        <f>S$25*VLOOKUP($C30, 'Assumption Review'!$D$92:$W$100, MATCH(S$21,'Assumption Review'!$D$92:$W$92, 0), FALSE)</f>
        <v>#N/A</v>
      </c>
      <c r="T30" s="3" t="e">
        <f>T$25*VLOOKUP($C30, 'Assumption Review'!$D$92:$W$100, MATCH(T$21,'Assumption Review'!$D$92:$W$92, 0), FALSE)</f>
        <v>#N/A</v>
      </c>
      <c r="U30" s="3" t="e">
        <f>U$25*VLOOKUP($C30, 'Assumption Review'!$D$92:$W$100, MATCH(U$21,'Assumption Review'!$D$92:$W$92, 0), FALSE)</f>
        <v>#N/A</v>
      </c>
      <c r="V30" s="3" t="e">
        <f>V$25*VLOOKUP($C30, 'Assumption Review'!$D$92:$W$100, MATCH(V$21,'Assumption Review'!$D$92:$W$92, 0), FALSE)</f>
        <v>#N/A</v>
      </c>
    </row>
    <row r="31" spans="2:28" x14ac:dyDescent="0.3">
      <c r="C31" s="105" t="str">
        <f>'Assumption Review'!D96</f>
        <v>Implants</v>
      </c>
      <c r="D31" s="3" t="e">
        <f>D$25*VLOOKUP($C31, 'Assumption Review'!$D$92:$W$100, MATCH(D$21,'Assumption Review'!$D$92:$W$92, 0), FALSE)</f>
        <v>#N/A</v>
      </c>
      <c r="E31" s="3" t="e">
        <f>E$25*VLOOKUP($C31, 'Assumption Review'!$D$92:$W$100, MATCH(E$21,'Assumption Review'!$D$92:$W$92, 0), FALSE)</f>
        <v>#N/A</v>
      </c>
      <c r="F31" s="3" t="e">
        <f>F$25*VLOOKUP($C31, 'Assumption Review'!$D$92:$W$100, MATCH(F$21,'Assumption Review'!$D$92:$W$92, 0), FALSE)</f>
        <v>#N/A</v>
      </c>
      <c r="G31" s="3" t="e">
        <f>G$25*VLOOKUP($C31, 'Assumption Review'!$D$92:$W$100, MATCH(G$21,'Assumption Review'!$D$92:$W$92, 0), FALSE)</f>
        <v>#N/A</v>
      </c>
      <c r="H31" s="3" t="e">
        <f>H$25*VLOOKUP($C31, 'Assumption Review'!$D$92:$W$100, MATCH(H$21,'Assumption Review'!$D$92:$W$92, 0), FALSE)</f>
        <v>#N/A</v>
      </c>
      <c r="I31" s="3" t="e">
        <f>I$25*VLOOKUP($C31, 'Assumption Review'!$D$92:$W$100, MATCH(I$21,'Assumption Review'!$D$92:$W$92, 0), FALSE)</f>
        <v>#N/A</v>
      </c>
      <c r="J31" s="3" t="e">
        <f>J$25*VLOOKUP($C31, 'Assumption Review'!$D$92:$W$100, MATCH(J$21,'Assumption Review'!$D$92:$W$92, 0), FALSE)</f>
        <v>#N/A</v>
      </c>
      <c r="K31" s="3" t="e">
        <f>K$25*VLOOKUP($C31, 'Assumption Review'!$D$92:$W$100, MATCH(K$21,'Assumption Review'!$D$92:$W$92, 0), FALSE)</f>
        <v>#N/A</v>
      </c>
      <c r="L31" s="3" t="e">
        <f>L$25*VLOOKUP($C31, 'Assumption Review'!$D$92:$W$100, MATCH(L$21,'Assumption Review'!$D$92:$W$92, 0), FALSE)</f>
        <v>#N/A</v>
      </c>
      <c r="M31" s="3" t="e">
        <f>M$25*VLOOKUP($C31, 'Assumption Review'!$D$92:$W$100, MATCH(M$21,'Assumption Review'!$D$92:$W$92, 0), FALSE)</f>
        <v>#N/A</v>
      </c>
      <c r="N31" s="3" t="e">
        <f>N$25*VLOOKUP($C31, 'Assumption Review'!$D$92:$W$100, MATCH(N$21,'Assumption Review'!$D$92:$W$92, 0), FALSE)</f>
        <v>#N/A</v>
      </c>
      <c r="O31" s="3" t="e">
        <f>O$25*VLOOKUP($C31, 'Assumption Review'!$D$92:$W$100, MATCH(O$21,'Assumption Review'!$D$92:$W$92, 0), FALSE)</f>
        <v>#N/A</v>
      </c>
      <c r="P31" s="3" t="e">
        <f>P$25*VLOOKUP($C31, 'Assumption Review'!$D$92:$W$100, MATCH(P$21,'Assumption Review'!$D$92:$W$92, 0), FALSE)</f>
        <v>#N/A</v>
      </c>
      <c r="Q31" s="3" t="e">
        <f>Q$25*VLOOKUP($C31, 'Assumption Review'!$D$92:$W$100, MATCH(Q$21,'Assumption Review'!$D$92:$W$92, 0), FALSE)</f>
        <v>#N/A</v>
      </c>
      <c r="R31" s="3" t="e">
        <f>R$25*VLOOKUP($C31, 'Assumption Review'!$D$92:$W$100, MATCH(R$21,'Assumption Review'!$D$92:$W$92, 0), FALSE)</f>
        <v>#N/A</v>
      </c>
      <c r="S31" s="3" t="e">
        <f>S$25*VLOOKUP($C31, 'Assumption Review'!$D$92:$W$100, MATCH(S$21,'Assumption Review'!$D$92:$W$92, 0), FALSE)</f>
        <v>#N/A</v>
      </c>
      <c r="T31" s="3" t="e">
        <f>T$25*VLOOKUP($C31, 'Assumption Review'!$D$92:$W$100, MATCH(T$21,'Assumption Review'!$D$92:$W$92, 0), FALSE)</f>
        <v>#N/A</v>
      </c>
      <c r="U31" s="3" t="e">
        <f>U$25*VLOOKUP($C31, 'Assumption Review'!$D$92:$W$100, MATCH(U$21,'Assumption Review'!$D$92:$W$92, 0), FALSE)</f>
        <v>#N/A</v>
      </c>
      <c r="V31" s="3" t="e">
        <f>V$25*VLOOKUP($C31, 'Assumption Review'!$D$92:$W$100, MATCH(V$21,'Assumption Review'!$D$92:$W$92, 0), FALSE)</f>
        <v>#N/A</v>
      </c>
    </row>
    <row r="32" spans="2:28" x14ac:dyDescent="0.3">
      <c r="C32" s="105" t="str">
        <f>'Assumption Review'!D97</f>
        <v>Injections</v>
      </c>
      <c r="D32" s="3" t="e">
        <f>D$25*VLOOKUP($C32, 'Assumption Review'!$D$92:$W$100, MATCH(D$21,'Assumption Review'!$D$92:$W$92, 0), FALSE)</f>
        <v>#N/A</v>
      </c>
      <c r="E32" s="3" t="e">
        <f>E$25*VLOOKUP($C32, 'Assumption Review'!$D$92:$W$100, MATCH(E$21,'Assumption Review'!$D$92:$W$92, 0), FALSE)</f>
        <v>#N/A</v>
      </c>
      <c r="F32" s="3" t="e">
        <f>F$25*VLOOKUP($C32, 'Assumption Review'!$D$92:$W$100, MATCH(F$21,'Assumption Review'!$D$92:$W$92, 0), FALSE)</f>
        <v>#N/A</v>
      </c>
      <c r="G32" s="3" t="e">
        <f>G$25*VLOOKUP($C32, 'Assumption Review'!$D$92:$W$100, MATCH(G$21,'Assumption Review'!$D$92:$W$92, 0), FALSE)</f>
        <v>#N/A</v>
      </c>
      <c r="H32" s="3" t="e">
        <f>H$25*VLOOKUP($C32, 'Assumption Review'!$D$92:$W$100, MATCH(H$21,'Assumption Review'!$D$92:$W$92, 0), FALSE)</f>
        <v>#N/A</v>
      </c>
      <c r="I32" s="3" t="e">
        <f>I$25*VLOOKUP($C32, 'Assumption Review'!$D$92:$W$100, MATCH(I$21,'Assumption Review'!$D$92:$W$92, 0), FALSE)</f>
        <v>#N/A</v>
      </c>
      <c r="J32" s="3" t="e">
        <f>J$25*VLOOKUP($C32, 'Assumption Review'!$D$92:$W$100, MATCH(J$21,'Assumption Review'!$D$92:$W$92, 0), FALSE)</f>
        <v>#N/A</v>
      </c>
      <c r="K32" s="3" t="e">
        <f>K$25*VLOOKUP($C32, 'Assumption Review'!$D$92:$W$100, MATCH(K$21,'Assumption Review'!$D$92:$W$92, 0), FALSE)</f>
        <v>#N/A</v>
      </c>
      <c r="L32" s="3" t="e">
        <f>L$25*VLOOKUP($C32, 'Assumption Review'!$D$92:$W$100, MATCH(L$21,'Assumption Review'!$D$92:$W$92, 0), FALSE)</f>
        <v>#N/A</v>
      </c>
      <c r="M32" s="3" t="e">
        <f>M$25*VLOOKUP($C32, 'Assumption Review'!$D$92:$W$100, MATCH(M$21,'Assumption Review'!$D$92:$W$92, 0), FALSE)</f>
        <v>#N/A</v>
      </c>
      <c r="N32" s="3" t="e">
        <f>N$25*VLOOKUP($C32, 'Assumption Review'!$D$92:$W$100, MATCH(N$21,'Assumption Review'!$D$92:$W$92, 0), FALSE)</f>
        <v>#N/A</v>
      </c>
      <c r="O32" s="3" t="e">
        <f>O$25*VLOOKUP($C32, 'Assumption Review'!$D$92:$W$100, MATCH(O$21,'Assumption Review'!$D$92:$W$92, 0), FALSE)</f>
        <v>#N/A</v>
      </c>
      <c r="P32" s="3" t="e">
        <f>P$25*VLOOKUP($C32, 'Assumption Review'!$D$92:$W$100, MATCH(P$21,'Assumption Review'!$D$92:$W$92, 0), FALSE)</f>
        <v>#N/A</v>
      </c>
      <c r="Q32" s="3" t="e">
        <f>Q$25*VLOOKUP($C32, 'Assumption Review'!$D$92:$W$100, MATCH(Q$21,'Assumption Review'!$D$92:$W$92, 0), FALSE)</f>
        <v>#N/A</v>
      </c>
      <c r="R32" s="3" t="e">
        <f>R$25*VLOOKUP($C32, 'Assumption Review'!$D$92:$W$100, MATCH(R$21,'Assumption Review'!$D$92:$W$92, 0), FALSE)</f>
        <v>#N/A</v>
      </c>
      <c r="S32" s="3" t="e">
        <f>S$25*VLOOKUP($C32, 'Assumption Review'!$D$92:$W$100, MATCH(S$21,'Assumption Review'!$D$92:$W$92, 0), FALSE)</f>
        <v>#N/A</v>
      </c>
      <c r="T32" s="3" t="e">
        <f>T$25*VLOOKUP($C32, 'Assumption Review'!$D$92:$W$100, MATCH(T$21,'Assumption Review'!$D$92:$W$92, 0), FALSE)</f>
        <v>#N/A</v>
      </c>
      <c r="U32" s="3" t="e">
        <f>U$25*VLOOKUP($C32, 'Assumption Review'!$D$92:$W$100, MATCH(U$21,'Assumption Review'!$D$92:$W$92, 0), FALSE)</f>
        <v>#N/A</v>
      </c>
      <c r="V32" s="3" t="e">
        <f>V$25*VLOOKUP($C32, 'Assumption Review'!$D$92:$W$100, MATCH(V$21,'Assumption Review'!$D$92:$W$92, 0), FALSE)</f>
        <v>#N/A</v>
      </c>
    </row>
    <row r="33" spans="1:27" x14ac:dyDescent="0.3">
      <c r="C33" s="105" t="str">
        <f>'Assumption Review'!D98</f>
        <v>Pill</v>
      </c>
      <c r="D33" s="3" t="e">
        <f>D$25*VLOOKUP($C33, 'Assumption Review'!$D$92:$W$100, MATCH(D$21,'Assumption Review'!$D$92:$W$92, 0), FALSE)</f>
        <v>#N/A</v>
      </c>
      <c r="E33" s="3" t="e">
        <f>E$25*VLOOKUP($C33, 'Assumption Review'!$D$92:$W$100, MATCH(E$21,'Assumption Review'!$D$92:$W$92, 0), FALSE)</f>
        <v>#N/A</v>
      </c>
      <c r="F33" s="3" t="e">
        <f>F$25*VLOOKUP($C33, 'Assumption Review'!$D$92:$W$100, MATCH(F$21,'Assumption Review'!$D$92:$W$92, 0), FALSE)</f>
        <v>#N/A</v>
      </c>
      <c r="G33" s="3" t="e">
        <f>G$25*VLOOKUP($C33, 'Assumption Review'!$D$92:$W$100, MATCH(G$21,'Assumption Review'!$D$92:$W$92, 0), FALSE)</f>
        <v>#N/A</v>
      </c>
      <c r="H33" s="3" t="e">
        <f>H$25*VLOOKUP($C33, 'Assumption Review'!$D$92:$W$100, MATCH(H$21,'Assumption Review'!$D$92:$W$92, 0), FALSE)</f>
        <v>#N/A</v>
      </c>
      <c r="I33" s="3" t="e">
        <f>I$25*VLOOKUP($C33, 'Assumption Review'!$D$92:$W$100, MATCH(I$21,'Assumption Review'!$D$92:$W$92, 0), FALSE)</f>
        <v>#N/A</v>
      </c>
      <c r="J33" s="3" t="e">
        <f>J$25*VLOOKUP($C33, 'Assumption Review'!$D$92:$W$100, MATCH(J$21,'Assumption Review'!$D$92:$W$92, 0), FALSE)</f>
        <v>#N/A</v>
      </c>
      <c r="K33" s="3" t="e">
        <f>K$25*VLOOKUP($C33, 'Assumption Review'!$D$92:$W$100, MATCH(K$21,'Assumption Review'!$D$92:$W$92, 0), FALSE)</f>
        <v>#N/A</v>
      </c>
      <c r="L33" s="3" t="e">
        <f>L$25*VLOOKUP($C33, 'Assumption Review'!$D$92:$W$100, MATCH(L$21,'Assumption Review'!$D$92:$W$92, 0), FALSE)</f>
        <v>#N/A</v>
      </c>
      <c r="M33" s="3" t="e">
        <f>M$25*VLOOKUP($C33, 'Assumption Review'!$D$92:$W$100, MATCH(M$21,'Assumption Review'!$D$92:$W$92, 0), FALSE)</f>
        <v>#N/A</v>
      </c>
      <c r="N33" s="3" t="e">
        <f>N$25*VLOOKUP($C33, 'Assumption Review'!$D$92:$W$100, MATCH(N$21,'Assumption Review'!$D$92:$W$92, 0), FALSE)</f>
        <v>#N/A</v>
      </c>
      <c r="O33" s="3" t="e">
        <f>O$25*VLOOKUP($C33, 'Assumption Review'!$D$92:$W$100, MATCH(O$21,'Assumption Review'!$D$92:$W$92, 0), FALSE)</f>
        <v>#N/A</v>
      </c>
      <c r="P33" s="3" t="e">
        <f>P$25*VLOOKUP($C33, 'Assumption Review'!$D$92:$W$100, MATCH(P$21,'Assumption Review'!$D$92:$W$92, 0), FALSE)</f>
        <v>#N/A</v>
      </c>
      <c r="Q33" s="3" t="e">
        <f>Q$25*VLOOKUP($C33, 'Assumption Review'!$D$92:$W$100, MATCH(Q$21,'Assumption Review'!$D$92:$W$92, 0), FALSE)</f>
        <v>#N/A</v>
      </c>
      <c r="R33" s="3" t="e">
        <f>R$25*VLOOKUP($C33, 'Assumption Review'!$D$92:$W$100, MATCH(R$21,'Assumption Review'!$D$92:$W$92, 0), FALSE)</f>
        <v>#N/A</v>
      </c>
      <c r="S33" s="3" t="e">
        <f>S$25*VLOOKUP($C33, 'Assumption Review'!$D$92:$W$100, MATCH(S$21,'Assumption Review'!$D$92:$W$92, 0), FALSE)</f>
        <v>#N/A</v>
      </c>
      <c r="T33" s="3" t="e">
        <f>T$25*VLOOKUP($C33, 'Assumption Review'!$D$92:$W$100, MATCH(T$21,'Assumption Review'!$D$92:$W$92, 0), FALSE)</f>
        <v>#N/A</v>
      </c>
      <c r="U33" s="3" t="e">
        <f>U$25*VLOOKUP($C33, 'Assumption Review'!$D$92:$W$100, MATCH(U$21,'Assumption Review'!$D$92:$W$92, 0), FALSE)</f>
        <v>#N/A</v>
      </c>
      <c r="V33" s="3" t="e">
        <f>V$25*VLOOKUP($C33, 'Assumption Review'!$D$92:$W$100, MATCH(V$21,'Assumption Review'!$D$92:$W$92, 0), FALSE)</f>
        <v>#N/A</v>
      </c>
    </row>
    <row r="34" spans="1:27" x14ac:dyDescent="0.3">
      <c r="C34" s="105" t="str">
        <f>'Assumption Review'!D99</f>
        <v>Male Condom</v>
      </c>
      <c r="D34" s="3" t="e">
        <f>D$25*VLOOKUP($C34, 'Assumption Review'!$D$92:$W$100, MATCH(D$21,'Assumption Review'!$D$92:$W$92, 0), FALSE)</f>
        <v>#N/A</v>
      </c>
      <c r="E34" s="3" t="e">
        <f>E$25*VLOOKUP($C34, 'Assumption Review'!$D$92:$W$100, MATCH(E$21,'Assumption Review'!$D$92:$W$92, 0), FALSE)</f>
        <v>#N/A</v>
      </c>
      <c r="F34" s="3" t="e">
        <f>F$25*VLOOKUP($C34, 'Assumption Review'!$D$92:$W$100, MATCH(F$21,'Assumption Review'!$D$92:$W$92, 0), FALSE)</f>
        <v>#N/A</v>
      </c>
      <c r="G34" s="3" t="e">
        <f>G$25*VLOOKUP($C34, 'Assumption Review'!$D$92:$W$100, MATCH(G$21,'Assumption Review'!$D$92:$W$92, 0), FALSE)</f>
        <v>#N/A</v>
      </c>
      <c r="H34" s="3" t="e">
        <f>H$25*VLOOKUP($C34, 'Assumption Review'!$D$92:$W$100, MATCH(H$21,'Assumption Review'!$D$92:$W$92, 0), FALSE)</f>
        <v>#N/A</v>
      </c>
      <c r="I34" s="3" t="e">
        <f>I$25*VLOOKUP($C34, 'Assumption Review'!$D$92:$W$100, MATCH(I$21,'Assumption Review'!$D$92:$W$92, 0), FALSE)</f>
        <v>#N/A</v>
      </c>
      <c r="J34" s="3" t="e">
        <f>J$25*VLOOKUP($C34, 'Assumption Review'!$D$92:$W$100, MATCH(J$21,'Assumption Review'!$D$92:$W$92, 0), FALSE)</f>
        <v>#N/A</v>
      </c>
      <c r="K34" s="3" t="e">
        <f>K$25*VLOOKUP($C34, 'Assumption Review'!$D$92:$W$100, MATCH(K$21,'Assumption Review'!$D$92:$W$92, 0), FALSE)</f>
        <v>#N/A</v>
      </c>
      <c r="L34" s="3" t="e">
        <f>L$25*VLOOKUP($C34, 'Assumption Review'!$D$92:$W$100, MATCH(L$21,'Assumption Review'!$D$92:$W$92, 0), FALSE)</f>
        <v>#N/A</v>
      </c>
      <c r="M34" s="3" t="e">
        <f>M$25*VLOOKUP($C34, 'Assumption Review'!$D$92:$W$100, MATCH(M$21,'Assumption Review'!$D$92:$W$92, 0), FALSE)</f>
        <v>#N/A</v>
      </c>
      <c r="N34" s="3" t="e">
        <f>N$25*VLOOKUP($C34, 'Assumption Review'!$D$92:$W$100, MATCH(N$21,'Assumption Review'!$D$92:$W$92, 0), FALSE)</f>
        <v>#N/A</v>
      </c>
      <c r="O34" s="3" t="e">
        <f>O$25*VLOOKUP($C34, 'Assumption Review'!$D$92:$W$100, MATCH(O$21,'Assumption Review'!$D$92:$W$92, 0), FALSE)</f>
        <v>#N/A</v>
      </c>
      <c r="P34" s="3" t="e">
        <f>P$25*VLOOKUP($C34, 'Assumption Review'!$D$92:$W$100, MATCH(P$21,'Assumption Review'!$D$92:$W$92, 0), FALSE)</f>
        <v>#N/A</v>
      </c>
      <c r="Q34" s="3" t="e">
        <f>Q$25*VLOOKUP($C34, 'Assumption Review'!$D$92:$W$100, MATCH(Q$21,'Assumption Review'!$D$92:$W$92, 0), FALSE)</f>
        <v>#N/A</v>
      </c>
      <c r="R34" s="3" t="e">
        <f>R$25*VLOOKUP($C34, 'Assumption Review'!$D$92:$W$100, MATCH(R$21,'Assumption Review'!$D$92:$W$92, 0), FALSE)</f>
        <v>#N/A</v>
      </c>
      <c r="S34" s="3" t="e">
        <f>S$25*VLOOKUP($C34, 'Assumption Review'!$D$92:$W$100, MATCH(S$21,'Assumption Review'!$D$92:$W$92, 0), FALSE)</f>
        <v>#N/A</v>
      </c>
      <c r="T34" s="3" t="e">
        <f>T$25*VLOOKUP($C34, 'Assumption Review'!$D$92:$W$100, MATCH(T$21,'Assumption Review'!$D$92:$W$92, 0), FALSE)</f>
        <v>#N/A</v>
      </c>
      <c r="U34" s="3" t="e">
        <f>U$25*VLOOKUP($C34, 'Assumption Review'!$D$92:$W$100, MATCH(U$21,'Assumption Review'!$D$92:$W$92, 0), FALSE)</f>
        <v>#N/A</v>
      </c>
      <c r="V34" s="3" t="e">
        <f>V$25*VLOOKUP($C34, 'Assumption Review'!$D$92:$W$100, MATCH(V$21,'Assumption Review'!$D$92:$W$92, 0), FALSE)</f>
        <v>#N/A</v>
      </c>
    </row>
    <row r="35" spans="1:27" x14ac:dyDescent="0.3">
      <c r="C35" s="105" t="str">
        <f>'Assumption Review'!D100</f>
        <v>LAM &amp; Other Modern Methods</v>
      </c>
      <c r="D35" s="3" t="e">
        <f>D$25*VLOOKUP($C35, 'Assumption Review'!$D$92:$W$100, MATCH(D$21,'Assumption Review'!$D$92:$W$92, 0), FALSE)</f>
        <v>#N/A</v>
      </c>
      <c r="E35" s="3" t="e">
        <f>E$25*VLOOKUP($C35, 'Assumption Review'!$D$92:$W$100, MATCH(E$21,'Assumption Review'!$D$92:$W$92, 0), FALSE)</f>
        <v>#N/A</v>
      </c>
      <c r="F35" s="3" t="e">
        <f>F$25*VLOOKUP($C35, 'Assumption Review'!$D$92:$W$100, MATCH(F$21,'Assumption Review'!$D$92:$W$92, 0), FALSE)</f>
        <v>#N/A</v>
      </c>
      <c r="G35" s="3" t="e">
        <f>G$25*VLOOKUP($C35, 'Assumption Review'!$D$92:$W$100, MATCH(G$21,'Assumption Review'!$D$92:$W$92, 0), FALSE)</f>
        <v>#N/A</v>
      </c>
      <c r="H35" s="3" t="e">
        <f>H$25*VLOOKUP($C35, 'Assumption Review'!$D$92:$W$100, MATCH(H$21,'Assumption Review'!$D$92:$W$92, 0), FALSE)</f>
        <v>#N/A</v>
      </c>
      <c r="I35" s="3" t="e">
        <f>I$25*VLOOKUP($C35, 'Assumption Review'!$D$92:$W$100, MATCH(I$21,'Assumption Review'!$D$92:$W$92, 0), FALSE)</f>
        <v>#N/A</v>
      </c>
      <c r="J35" s="3" t="e">
        <f>J$25*VLOOKUP($C35, 'Assumption Review'!$D$92:$W$100, MATCH(J$21,'Assumption Review'!$D$92:$W$92, 0), FALSE)</f>
        <v>#N/A</v>
      </c>
      <c r="K35" s="3" t="e">
        <f>K$25*VLOOKUP($C35, 'Assumption Review'!$D$92:$W$100, MATCH(K$21,'Assumption Review'!$D$92:$W$92, 0), FALSE)</f>
        <v>#N/A</v>
      </c>
      <c r="L35" s="3" t="e">
        <f>L$25*VLOOKUP($C35, 'Assumption Review'!$D$92:$W$100, MATCH(L$21,'Assumption Review'!$D$92:$W$92, 0), FALSE)</f>
        <v>#N/A</v>
      </c>
      <c r="M35" s="3" t="e">
        <f>M$25*VLOOKUP($C35, 'Assumption Review'!$D$92:$W$100, MATCH(M$21,'Assumption Review'!$D$92:$W$92, 0), FALSE)</f>
        <v>#N/A</v>
      </c>
      <c r="N35" s="3" t="e">
        <f>N$25*VLOOKUP($C35, 'Assumption Review'!$D$92:$W$100, MATCH(N$21,'Assumption Review'!$D$92:$W$92, 0), FALSE)</f>
        <v>#N/A</v>
      </c>
      <c r="O35" s="3" t="e">
        <f>O$25*VLOOKUP($C35, 'Assumption Review'!$D$92:$W$100, MATCH(O$21,'Assumption Review'!$D$92:$W$92, 0), FALSE)</f>
        <v>#N/A</v>
      </c>
      <c r="P35" s="3" t="e">
        <f>P$25*VLOOKUP($C35, 'Assumption Review'!$D$92:$W$100, MATCH(P$21,'Assumption Review'!$D$92:$W$92, 0), FALSE)</f>
        <v>#N/A</v>
      </c>
      <c r="Q35" s="3" t="e">
        <f>Q$25*VLOOKUP($C35, 'Assumption Review'!$D$92:$W$100, MATCH(Q$21,'Assumption Review'!$D$92:$W$92, 0), FALSE)</f>
        <v>#N/A</v>
      </c>
      <c r="R35" s="3" t="e">
        <f>R$25*VLOOKUP($C35, 'Assumption Review'!$D$92:$W$100, MATCH(R$21,'Assumption Review'!$D$92:$W$92, 0), FALSE)</f>
        <v>#N/A</v>
      </c>
      <c r="S35" s="3" t="e">
        <f>S$25*VLOOKUP($C35, 'Assumption Review'!$D$92:$W$100, MATCH(S$21,'Assumption Review'!$D$92:$W$92, 0), FALSE)</f>
        <v>#N/A</v>
      </c>
      <c r="T35" s="3" t="e">
        <f>T$25*VLOOKUP($C35, 'Assumption Review'!$D$92:$W$100, MATCH(T$21,'Assumption Review'!$D$92:$W$92, 0), FALSE)</f>
        <v>#N/A</v>
      </c>
      <c r="U35" s="3" t="e">
        <f>U$25*VLOOKUP($C35, 'Assumption Review'!$D$92:$W$100, MATCH(U$21,'Assumption Review'!$D$92:$W$92, 0), FALSE)</f>
        <v>#N/A</v>
      </c>
      <c r="V35" s="3" t="e">
        <f>V$25*VLOOKUP($C35, 'Assumption Review'!$D$92:$W$100, MATCH(V$21,'Assumption Review'!$D$92:$W$92, 0), FALSE)</f>
        <v>#N/A</v>
      </c>
    </row>
    <row r="36" spans="1:27" x14ac:dyDescent="0.3">
      <c r="C36" s="106" t="s">
        <v>7</v>
      </c>
      <c r="D36" s="107" t="e">
        <f>SUM(D28:D35)</f>
        <v>#N/A</v>
      </c>
      <c r="E36" s="107" t="e">
        <f t="shared" ref="E36:L36" si="1">SUM(E28:E35)</f>
        <v>#N/A</v>
      </c>
      <c r="F36" s="107" t="e">
        <f t="shared" si="1"/>
        <v>#N/A</v>
      </c>
      <c r="G36" s="107" t="e">
        <f t="shared" si="1"/>
        <v>#N/A</v>
      </c>
      <c r="H36" s="107" t="e">
        <f t="shared" si="1"/>
        <v>#N/A</v>
      </c>
      <c r="I36" s="107" t="e">
        <f t="shared" si="1"/>
        <v>#N/A</v>
      </c>
      <c r="J36" s="107" t="e">
        <f t="shared" si="1"/>
        <v>#N/A</v>
      </c>
      <c r="K36" s="107" t="e">
        <f t="shared" si="1"/>
        <v>#N/A</v>
      </c>
      <c r="L36" s="107" t="e">
        <f t="shared" si="1"/>
        <v>#N/A</v>
      </c>
      <c r="M36" s="107" t="e">
        <f t="shared" ref="M36:V36" si="2">SUM(M28:M35)</f>
        <v>#N/A</v>
      </c>
      <c r="N36" s="107" t="e">
        <f t="shared" si="2"/>
        <v>#N/A</v>
      </c>
      <c r="O36" s="107" t="e">
        <f t="shared" si="2"/>
        <v>#N/A</v>
      </c>
      <c r="P36" s="107" t="e">
        <f t="shared" si="2"/>
        <v>#N/A</v>
      </c>
      <c r="Q36" s="107" t="e">
        <f t="shared" si="2"/>
        <v>#N/A</v>
      </c>
      <c r="R36" s="107" t="e">
        <f t="shared" si="2"/>
        <v>#N/A</v>
      </c>
      <c r="S36" s="107" t="e">
        <f t="shared" si="2"/>
        <v>#N/A</v>
      </c>
      <c r="T36" s="107" t="e">
        <f t="shared" si="2"/>
        <v>#N/A</v>
      </c>
      <c r="U36" s="107" t="e">
        <f t="shared" si="2"/>
        <v>#N/A</v>
      </c>
      <c r="V36" s="107" t="e">
        <f t="shared" si="2"/>
        <v>#N/A</v>
      </c>
    </row>
    <row r="37" spans="1:27" x14ac:dyDescent="0.3">
      <c r="R37" s="9"/>
      <c r="S37" s="9"/>
      <c r="T37" s="9"/>
      <c r="U37" s="9"/>
    </row>
    <row r="38" spans="1:27" x14ac:dyDescent="0.3">
      <c r="A38" s="205"/>
      <c r="B38" s="205"/>
      <c r="C38" s="355" t="str">
        <f>IF(Language=English, Y38, Z38)</f>
        <v>Pregnancies due to method failure:</v>
      </c>
      <c r="D38" s="205"/>
      <c r="E38" s="205"/>
      <c r="F38" s="205"/>
      <c r="G38" s="205"/>
      <c r="H38" s="205"/>
      <c r="I38" s="205"/>
      <c r="J38" s="205"/>
      <c r="K38" s="205"/>
      <c r="L38" s="205"/>
      <c r="M38" s="205"/>
      <c r="N38" s="205"/>
      <c r="O38" s="205"/>
      <c r="P38" s="205"/>
      <c r="Q38" s="205"/>
      <c r="R38" s="205"/>
      <c r="S38" s="205"/>
      <c r="T38" s="205"/>
      <c r="U38" s="205"/>
      <c r="V38" s="205"/>
      <c r="Y38" s="205" t="s">
        <v>476</v>
      </c>
      <c r="Z38" s="205" t="s">
        <v>477</v>
      </c>
      <c r="AA38" s="205"/>
    </row>
    <row r="39" spans="1:27" x14ac:dyDescent="0.3">
      <c r="A39" s="205"/>
      <c r="B39" s="205"/>
      <c r="C39" s="356" t="str">
        <f>$C$28</f>
        <v>Female sterilization</v>
      </c>
      <c r="D39" s="357" t="e">
        <f>D28*VLOOKUP($Y39, 'Pregnancy and failure rates'!$A$10:$B$17, 2, FALSE)</f>
        <v>#N/A</v>
      </c>
      <c r="E39" s="357" t="e">
        <f>E28*VLOOKUP($Y39, 'Pregnancy and failure rates'!$A$10:$B$17, 2, FALSE)</f>
        <v>#N/A</v>
      </c>
      <c r="F39" s="357" t="e">
        <f>F28*VLOOKUP($Y39, 'Pregnancy and failure rates'!$A$10:$B$17, 2, FALSE)</f>
        <v>#N/A</v>
      </c>
      <c r="G39" s="357" t="e">
        <f>G28*VLOOKUP($Y39, 'Pregnancy and failure rates'!$A$10:$B$17, 2, FALSE)</f>
        <v>#N/A</v>
      </c>
      <c r="H39" s="357" t="e">
        <f>H28*VLOOKUP($Y39, 'Pregnancy and failure rates'!$A$10:$B$17, 2, FALSE)</f>
        <v>#N/A</v>
      </c>
      <c r="I39" s="357" t="e">
        <f>I28*VLOOKUP($Y39, 'Pregnancy and failure rates'!$A$10:$B$17, 2, FALSE)</f>
        <v>#N/A</v>
      </c>
      <c r="J39" s="357" t="e">
        <f>J28*VLOOKUP($Y39, 'Pregnancy and failure rates'!$A$10:$B$17, 2, FALSE)</f>
        <v>#N/A</v>
      </c>
      <c r="K39" s="357" t="e">
        <f>K28*VLOOKUP($Y39, 'Pregnancy and failure rates'!$A$10:$B$17, 2, FALSE)</f>
        <v>#N/A</v>
      </c>
      <c r="L39" s="357" t="e">
        <f>L28*VLOOKUP($Y39, 'Pregnancy and failure rates'!$A$10:$B$17, 2, FALSE)</f>
        <v>#N/A</v>
      </c>
      <c r="M39" s="357" t="e">
        <f>M28*VLOOKUP($Y39, 'Pregnancy and failure rates'!$A$10:$B$17, 2, FALSE)</f>
        <v>#N/A</v>
      </c>
      <c r="N39" s="357" t="e">
        <f>N28*VLOOKUP($Y39, 'Pregnancy and failure rates'!$A$10:$B$17, 2, FALSE)</f>
        <v>#N/A</v>
      </c>
      <c r="O39" s="357" t="e">
        <f>O28*VLOOKUP($Y39, 'Pregnancy and failure rates'!$A$10:$B$17, 2, FALSE)</f>
        <v>#N/A</v>
      </c>
      <c r="P39" s="357" t="e">
        <f>P28*VLOOKUP($Y39, 'Pregnancy and failure rates'!$A$10:$B$17, 2, FALSE)</f>
        <v>#N/A</v>
      </c>
      <c r="Q39" s="357" t="e">
        <f>Q28*VLOOKUP($Y39, 'Pregnancy and failure rates'!$A$10:$B$17, 2, FALSE)</f>
        <v>#N/A</v>
      </c>
      <c r="R39" s="357" t="e">
        <f>R28*VLOOKUP($Y39, 'Pregnancy and failure rates'!$A$10:$B$17, 2, FALSE)</f>
        <v>#N/A</v>
      </c>
      <c r="S39" s="357" t="e">
        <f>S28*VLOOKUP($Y39, 'Pregnancy and failure rates'!$A$10:$B$17, 2, FALSE)</f>
        <v>#N/A</v>
      </c>
      <c r="T39" s="357" t="e">
        <f>T28*VLOOKUP($Y39, 'Pregnancy and failure rates'!$A$10:$B$17, 2, FALSE)</f>
        <v>#N/A</v>
      </c>
      <c r="U39" s="357" t="e">
        <f>U28*VLOOKUP($Y39, 'Pregnancy and failure rates'!$A$10:$B$17, 2, FALSE)</f>
        <v>#N/A</v>
      </c>
      <c r="V39" s="357" t="e">
        <f>V28*VLOOKUP($Y39, 'Pregnancy and failure rates'!$A$10:$B$17, 2, FALSE)</f>
        <v>#N/A</v>
      </c>
      <c r="Y39" s="358" t="s">
        <v>0</v>
      </c>
      <c r="Z39" s="358" t="s">
        <v>15</v>
      </c>
      <c r="AA39" s="205"/>
    </row>
    <row r="40" spans="1:27" x14ac:dyDescent="0.3">
      <c r="A40" s="205"/>
      <c r="B40" s="205"/>
      <c r="C40" s="356" t="str">
        <f>$C$29</f>
        <v>Male sterilization</v>
      </c>
      <c r="D40" s="357" t="e">
        <f>D29*VLOOKUP($Y40, 'Pregnancy and failure rates'!$A$10:$B$17, 2, FALSE)</f>
        <v>#N/A</v>
      </c>
      <c r="E40" s="357" t="e">
        <f>E29*VLOOKUP($Y40, 'Pregnancy and failure rates'!$A$10:$B$17, 2, FALSE)</f>
        <v>#N/A</v>
      </c>
      <c r="F40" s="357" t="e">
        <f>F29*VLOOKUP($Y40, 'Pregnancy and failure rates'!$A$10:$B$17, 2, FALSE)</f>
        <v>#N/A</v>
      </c>
      <c r="G40" s="357" t="e">
        <f>G29*VLOOKUP($Y40, 'Pregnancy and failure rates'!$A$10:$B$17, 2, FALSE)</f>
        <v>#N/A</v>
      </c>
      <c r="H40" s="357" t="e">
        <f>H29*VLOOKUP($Y40, 'Pregnancy and failure rates'!$A$10:$B$17, 2, FALSE)</f>
        <v>#N/A</v>
      </c>
      <c r="I40" s="357" t="e">
        <f>I29*VLOOKUP($Y40, 'Pregnancy and failure rates'!$A$10:$B$17, 2, FALSE)</f>
        <v>#N/A</v>
      </c>
      <c r="J40" s="357" t="e">
        <f>J29*VLOOKUP($Y40, 'Pregnancy and failure rates'!$A$10:$B$17, 2, FALSE)</f>
        <v>#N/A</v>
      </c>
      <c r="K40" s="357" t="e">
        <f>K29*VLOOKUP($Y40, 'Pregnancy and failure rates'!$A$10:$B$17, 2, FALSE)</f>
        <v>#N/A</v>
      </c>
      <c r="L40" s="357" t="e">
        <f>L29*VLOOKUP($Y40, 'Pregnancy and failure rates'!$A$10:$B$17, 2, FALSE)</f>
        <v>#N/A</v>
      </c>
      <c r="M40" s="357" t="e">
        <f>M29*VLOOKUP($Y40, 'Pregnancy and failure rates'!$A$10:$B$17, 2, FALSE)</f>
        <v>#N/A</v>
      </c>
      <c r="N40" s="357" t="e">
        <f>N29*VLOOKUP($Y40, 'Pregnancy and failure rates'!$A$10:$B$17, 2, FALSE)</f>
        <v>#N/A</v>
      </c>
      <c r="O40" s="357" t="e">
        <f>O29*VLOOKUP($Y40, 'Pregnancy and failure rates'!$A$10:$B$17, 2, FALSE)</f>
        <v>#N/A</v>
      </c>
      <c r="P40" s="357" t="e">
        <f>P29*VLOOKUP($Y40, 'Pregnancy and failure rates'!$A$10:$B$17, 2, FALSE)</f>
        <v>#N/A</v>
      </c>
      <c r="Q40" s="357" t="e">
        <f>Q29*VLOOKUP($Y40, 'Pregnancy and failure rates'!$A$10:$B$17, 2, FALSE)</f>
        <v>#N/A</v>
      </c>
      <c r="R40" s="357" t="e">
        <f>R29*VLOOKUP($Y40, 'Pregnancy and failure rates'!$A$10:$B$17, 2, FALSE)</f>
        <v>#N/A</v>
      </c>
      <c r="S40" s="357" t="e">
        <f>S29*VLOOKUP($Y40, 'Pregnancy and failure rates'!$A$10:$B$17, 2, FALSE)</f>
        <v>#N/A</v>
      </c>
      <c r="T40" s="357" t="e">
        <f>T29*VLOOKUP($Y40, 'Pregnancy and failure rates'!$A$10:$B$17, 2, FALSE)</f>
        <v>#N/A</v>
      </c>
      <c r="U40" s="357" t="e">
        <f>U29*VLOOKUP($Y40, 'Pregnancy and failure rates'!$A$10:$B$17, 2, FALSE)</f>
        <v>#N/A</v>
      </c>
      <c r="V40" s="357" t="e">
        <f>V29*VLOOKUP($Y40, 'Pregnancy and failure rates'!$A$10:$B$17, 2, FALSE)</f>
        <v>#N/A</v>
      </c>
      <c r="Y40" s="358" t="s">
        <v>1</v>
      </c>
      <c r="Z40" s="358" t="s">
        <v>19</v>
      </c>
      <c r="AA40" s="205"/>
    </row>
    <row r="41" spans="1:27" x14ac:dyDescent="0.3">
      <c r="A41" s="205"/>
      <c r="B41" s="205"/>
      <c r="C41" s="356" t="str">
        <f>$C$30</f>
        <v>IUD</v>
      </c>
      <c r="D41" s="357" t="e">
        <f>D30*VLOOKUP($Y41, 'Pregnancy and failure rates'!$A$10:$B$17, 2, FALSE)</f>
        <v>#N/A</v>
      </c>
      <c r="E41" s="357" t="e">
        <f>E30*VLOOKUP($Y41, 'Pregnancy and failure rates'!$A$10:$B$17, 2, FALSE)</f>
        <v>#N/A</v>
      </c>
      <c r="F41" s="357" t="e">
        <f>F30*VLOOKUP($Y41, 'Pregnancy and failure rates'!$A$10:$B$17, 2, FALSE)</f>
        <v>#N/A</v>
      </c>
      <c r="G41" s="357" t="e">
        <f>G30*VLOOKUP($Y41, 'Pregnancy and failure rates'!$A$10:$B$17, 2, FALSE)</f>
        <v>#N/A</v>
      </c>
      <c r="H41" s="357" t="e">
        <f>H30*VLOOKUP($Y41, 'Pregnancy and failure rates'!$A$10:$B$17, 2, FALSE)</f>
        <v>#N/A</v>
      </c>
      <c r="I41" s="357" t="e">
        <f>I30*VLOOKUP($Y41, 'Pregnancy and failure rates'!$A$10:$B$17, 2, FALSE)</f>
        <v>#N/A</v>
      </c>
      <c r="J41" s="357" t="e">
        <f>J30*VLOOKUP($Y41, 'Pregnancy and failure rates'!$A$10:$B$17, 2, FALSE)</f>
        <v>#N/A</v>
      </c>
      <c r="K41" s="357" t="e">
        <f>K30*VLOOKUP($Y41, 'Pregnancy and failure rates'!$A$10:$B$17, 2, FALSE)</f>
        <v>#N/A</v>
      </c>
      <c r="L41" s="357" t="e">
        <f>L30*VLOOKUP($Y41, 'Pregnancy and failure rates'!$A$10:$B$17, 2, FALSE)</f>
        <v>#N/A</v>
      </c>
      <c r="M41" s="357" t="e">
        <f>M30*VLOOKUP($Y41, 'Pregnancy and failure rates'!$A$10:$B$17, 2, FALSE)</f>
        <v>#N/A</v>
      </c>
      <c r="N41" s="357" t="e">
        <f>N30*VLOOKUP($Y41, 'Pregnancy and failure rates'!$A$10:$B$17, 2, FALSE)</f>
        <v>#N/A</v>
      </c>
      <c r="O41" s="357" t="e">
        <f>O30*VLOOKUP($Y41, 'Pregnancy and failure rates'!$A$10:$B$17, 2, FALSE)</f>
        <v>#N/A</v>
      </c>
      <c r="P41" s="357" t="e">
        <f>P30*VLOOKUP($Y41, 'Pregnancy and failure rates'!$A$10:$B$17, 2, FALSE)</f>
        <v>#N/A</v>
      </c>
      <c r="Q41" s="357" t="e">
        <f>Q30*VLOOKUP($Y41, 'Pregnancy and failure rates'!$A$10:$B$17, 2, FALSE)</f>
        <v>#N/A</v>
      </c>
      <c r="R41" s="357" t="e">
        <f>R30*VLOOKUP($Y41, 'Pregnancy and failure rates'!$A$10:$B$17, 2, FALSE)</f>
        <v>#N/A</v>
      </c>
      <c r="S41" s="357" t="e">
        <f>S30*VLOOKUP($Y41, 'Pregnancy and failure rates'!$A$10:$B$17, 2, FALSE)</f>
        <v>#N/A</v>
      </c>
      <c r="T41" s="357" t="e">
        <f>T30*VLOOKUP($Y41, 'Pregnancy and failure rates'!$A$10:$B$17, 2, FALSE)</f>
        <v>#N/A</v>
      </c>
      <c r="U41" s="357" t="e">
        <f>U30*VLOOKUP($Y41, 'Pregnancy and failure rates'!$A$10:$B$17, 2, FALSE)</f>
        <v>#N/A</v>
      </c>
      <c r="V41" s="357" t="e">
        <f>V30*VLOOKUP($Y41, 'Pregnancy and failure rates'!$A$10:$B$17, 2, FALSE)</f>
        <v>#N/A</v>
      </c>
      <c r="Y41" s="358" t="s">
        <v>3</v>
      </c>
      <c r="Z41" s="358" t="s">
        <v>17</v>
      </c>
      <c r="AA41" s="205"/>
    </row>
    <row r="42" spans="1:27" x14ac:dyDescent="0.3">
      <c r="A42" s="205"/>
      <c r="B42" s="205"/>
      <c r="C42" s="356" t="str">
        <f>$C$31</f>
        <v>Implants</v>
      </c>
      <c r="D42" s="357" t="e">
        <f>D31*VLOOKUP($Y42, 'Pregnancy and failure rates'!$A$10:$B$17, 2, FALSE)</f>
        <v>#N/A</v>
      </c>
      <c r="E42" s="357" t="e">
        <f>E31*VLOOKUP($Y42, 'Pregnancy and failure rates'!$A$10:$B$17, 2, FALSE)</f>
        <v>#N/A</v>
      </c>
      <c r="F42" s="357" t="e">
        <f>F31*VLOOKUP($Y42, 'Pregnancy and failure rates'!$A$10:$B$17, 2, FALSE)</f>
        <v>#N/A</v>
      </c>
      <c r="G42" s="357" t="e">
        <f>G31*VLOOKUP($Y42, 'Pregnancy and failure rates'!$A$10:$B$17, 2, FALSE)</f>
        <v>#N/A</v>
      </c>
      <c r="H42" s="357" t="e">
        <f>H31*VLOOKUP($Y42, 'Pregnancy and failure rates'!$A$10:$B$17, 2, FALSE)</f>
        <v>#N/A</v>
      </c>
      <c r="I42" s="357" t="e">
        <f>I31*VLOOKUP($Y42, 'Pregnancy and failure rates'!$A$10:$B$17, 2, FALSE)</f>
        <v>#N/A</v>
      </c>
      <c r="J42" s="357" t="e">
        <f>J31*VLOOKUP($Y42, 'Pregnancy and failure rates'!$A$10:$B$17, 2, FALSE)</f>
        <v>#N/A</v>
      </c>
      <c r="K42" s="357" t="e">
        <f>K31*VLOOKUP($Y42, 'Pregnancy and failure rates'!$A$10:$B$17, 2, FALSE)</f>
        <v>#N/A</v>
      </c>
      <c r="L42" s="357" t="e">
        <f>L31*VLOOKUP($Y42, 'Pregnancy and failure rates'!$A$10:$B$17, 2, FALSE)</f>
        <v>#N/A</v>
      </c>
      <c r="M42" s="357" t="e">
        <f>M31*VLOOKUP($Y42, 'Pregnancy and failure rates'!$A$10:$B$17, 2, FALSE)</f>
        <v>#N/A</v>
      </c>
      <c r="N42" s="357" t="e">
        <f>N31*VLOOKUP($Y42, 'Pregnancy and failure rates'!$A$10:$B$17, 2, FALSE)</f>
        <v>#N/A</v>
      </c>
      <c r="O42" s="357" t="e">
        <f>O31*VLOOKUP($Y42, 'Pregnancy and failure rates'!$A$10:$B$17, 2, FALSE)</f>
        <v>#N/A</v>
      </c>
      <c r="P42" s="357" t="e">
        <f>P31*VLOOKUP($Y42, 'Pregnancy and failure rates'!$A$10:$B$17, 2, FALSE)</f>
        <v>#N/A</v>
      </c>
      <c r="Q42" s="357" t="e">
        <f>Q31*VLOOKUP($Y42, 'Pregnancy and failure rates'!$A$10:$B$17, 2, FALSE)</f>
        <v>#N/A</v>
      </c>
      <c r="R42" s="357" t="e">
        <f>R31*VLOOKUP($Y42, 'Pregnancy and failure rates'!$A$10:$B$17, 2, FALSE)</f>
        <v>#N/A</v>
      </c>
      <c r="S42" s="357" t="e">
        <f>S31*VLOOKUP($Y42, 'Pregnancy and failure rates'!$A$10:$B$17, 2, FALSE)</f>
        <v>#N/A</v>
      </c>
      <c r="T42" s="357" t="e">
        <f>T31*VLOOKUP($Y42, 'Pregnancy and failure rates'!$A$10:$B$17, 2, FALSE)</f>
        <v>#N/A</v>
      </c>
      <c r="U42" s="357" t="e">
        <f>U31*VLOOKUP($Y42, 'Pregnancy and failure rates'!$A$10:$B$17, 2, FALSE)</f>
        <v>#N/A</v>
      </c>
      <c r="V42" s="357" t="e">
        <f>V31*VLOOKUP($Y42, 'Pregnancy and failure rates'!$A$10:$B$17, 2, FALSE)</f>
        <v>#N/A</v>
      </c>
      <c r="Y42" s="358" t="s">
        <v>5</v>
      </c>
      <c r="Z42" s="358" t="s">
        <v>5</v>
      </c>
      <c r="AA42" s="205"/>
    </row>
    <row r="43" spans="1:27" x14ac:dyDescent="0.3">
      <c r="A43" s="205"/>
      <c r="B43" s="205"/>
      <c r="C43" s="356" t="str">
        <f>$C$32</f>
        <v>Injections</v>
      </c>
      <c r="D43" s="357" t="e">
        <f>D32*VLOOKUP($Y43, 'Pregnancy and failure rates'!$A$10:$B$17, 2, FALSE)</f>
        <v>#N/A</v>
      </c>
      <c r="E43" s="357" t="e">
        <f>E32*VLOOKUP($Y43, 'Pregnancy and failure rates'!$A$10:$B$17, 2, FALSE)</f>
        <v>#N/A</v>
      </c>
      <c r="F43" s="357" t="e">
        <f>F32*VLOOKUP($Y43, 'Pregnancy and failure rates'!$A$10:$B$17, 2, FALSE)</f>
        <v>#N/A</v>
      </c>
      <c r="G43" s="357" t="e">
        <f>G32*VLOOKUP($Y43, 'Pregnancy and failure rates'!$A$10:$B$17, 2, FALSE)</f>
        <v>#N/A</v>
      </c>
      <c r="H43" s="357" t="e">
        <f>H32*VLOOKUP($Y43, 'Pregnancy and failure rates'!$A$10:$B$17, 2, FALSE)</f>
        <v>#N/A</v>
      </c>
      <c r="I43" s="357" t="e">
        <f>I32*VLOOKUP($Y43, 'Pregnancy and failure rates'!$A$10:$B$17, 2, FALSE)</f>
        <v>#N/A</v>
      </c>
      <c r="J43" s="357" t="e">
        <f>J32*VLOOKUP($Y43, 'Pregnancy and failure rates'!$A$10:$B$17, 2, FALSE)</f>
        <v>#N/A</v>
      </c>
      <c r="K43" s="357" t="e">
        <f>K32*VLOOKUP($Y43, 'Pregnancy and failure rates'!$A$10:$B$17, 2, FALSE)</f>
        <v>#N/A</v>
      </c>
      <c r="L43" s="357" t="e">
        <f>L32*VLOOKUP($Y43, 'Pregnancy and failure rates'!$A$10:$B$17, 2, FALSE)</f>
        <v>#N/A</v>
      </c>
      <c r="M43" s="357" t="e">
        <f>M32*VLOOKUP($Y43, 'Pregnancy and failure rates'!$A$10:$B$17, 2, FALSE)</f>
        <v>#N/A</v>
      </c>
      <c r="N43" s="357" t="e">
        <f>N32*VLOOKUP($Y43, 'Pregnancy and failure rates'!$A$10:$B$17, 2, FALSE)</f>
        <v>#N/A</v>
      </c>
      <c r="O43" s="357" t="e">
        <f>O32*VLOOKUP($Y43, 'Pregnancy and failure rates'!$A$10:$B$17, 2, FALSE)</f>
        <v>#N/A</v>
      </c>
      <c r="P43" s="357" t="e">
        <f>P32*VLOOKUP($Y43, 'Pregnancy and failure rates'!$A$10:$B$17, 2, FALSE)</f>
        <v>#N/A</v>
      </c>
      <c r="Q43" s="357" t="e">
        <f>Q32*VLOOKUP($Y43, 'Pregnancy and failure rates'!$A$10:$B$17, 2, FALSE)</f>
        <v>#N/A</v>
      </c>
      <c r="R43" s="357" t="e">
        <f>R32*VLOOKUP($Y43, 'Pregnancy and failure rates'!$A$10:$B$17, 2, FALSE)</f>
        <v>#N/A</v>
      </c>
      <c r="S43" s="357" t="e">
        <f>S32*VLOOKUP($Y43, 'Pregnancy and failure rates'!$A$10:$B$17, 2, FALSE)</f>
        <v>#N/A</v>
      </c>
      <c r="T43" s="357" t="e">
        <f>T32*VLOOKUP($Y43, 'Pregnancy and failure rates'!$A$10:$B$17, 2, FALSE)</f>
        <v>#N/A</v>
      </c>
      <c r="U43" s="357" t="e">
        <f>U32*VLOOKUP($Y43, 'Pregnancy and failure rates'!$A$10:$B$17, 2, FALSE)</f>
        <v>#N/A</v>
      </c>
      <c r="V43" s="357" t="e">
        <f>V32*VLOOKUP($Y43, 'Pregnancy and failure rates'!$A$10:$B$17, 2, FALSE)</f>
        <v>#N/A</v>
      </c>
      <c r="Y43" s="358" t="s">
        <v>4</v>
      </c>
      <c r="Z43" s="358" t="s">
        <v>16</v>
      </c>
      <c r="AA43" s="205"/>
    </row>
    <row r="44" spans="1:27" x14ac:dyDescent="0.3">
      <c r="A44" s="205"/>
      <c r="B44" s="205"/>
      <c r="C44" s="356" t="str">
        <f>$C$33</f>
        <v>Pill</v>
      </c>
      <c r="D44" s="357" t="e">
        <f>D33*VLOOKUP($Y44, 'Pregnancy and failure rates'!$A$10:$B$17, 2, FALSE)</f>
        <v>#N/A</v>
      </c>
      <c r="E44" s="357" t="e">
        <f>E33*VLOOKUP($Y44, 'Pregnancy and failure rates'!$A$10:$B$17, 2, FALSE)</f>
        <v>#N/A</v>
      </c>
      <c r="F44" s="357" t="e">
        <f>F33*VLOOKUP($Y44, 'Pregnancy and failure rates'!$A$10:$B$17, 2, FALSE)</f>
        <v>#N/A</v>
      </c>
      <c r="G44" s="357" t="e">
        <f>G33*VLOOKUP($Y44, 'Pregnancy and failure rates'!$A$10:$B$17, 2, FALSE)</f>
        <v>#N/A</v>
      </c>
      <c r="H44" s="357" t="e">
        <f>H33*VLOOKUP($Y44, 'Pregnancy and failure rates'!$A$10:$B$17, 2, FALSE)</f>
        <v>#N/A</v>
      </c>
      <c r="I44" s="357" t="e">
        <f>I33*VLOOKUP($Y44, 'Pregnancy and failure rates'!$A$10:$B$17, 2, FALSE)</f>
        <v>#N/A</v>
      </c>
      <c r="J44" s="357" t="e">
        <f>J33*VLOOKUP($Y44, 'Pregnancy and failure rates'!$A$10:$B$17, 2, FALSE)</f>
        <v>#N/A</v>
      </c>
      <c r="K44" s="357" t="e">
        <f>K33*VLOOKUP($Y44, 'Pregnancy and failure rates'!$A$10:$B$17, 2, FALSE)</f>
        <v>#N/A</v>
      </c>
      <c r="L44" s="357" t="e">
        <f>L33*VLOOKUP($Y44, 'Pregnancy and failure rates'!$A$10:$B$17, 2, FALSE)</f>
        <v>#N/A</v>
      </c>
      <c r="M44" s="357" t="e">
        <f>M33*VLOOKUP($Y44, 'Pregnancy and failure rates'!$A$10:$B$17, 2, FALSE)</f>
        <v>#N/A</v>
      </c>
      <c r="N44" s="357" t="e">
        <f>N33*VLOOKUP($Y44, 'Pregnancy and failure rates'!$A$10:$B$17, 2, FALSE)</f>
        <v>#N/A</v>
      </c>
      <c r="O44" s="357" t="e">
        <f>O33*VLOOKUP($Y44, 'Pregnancy and failure rates'!$A$10:$B$17, 2, FALSE)</f>
        <v>#N/A</v>
      </c>
      <c r="P44" s="357" t="e">
        <f>P33*VLOOKUP($Y44, 'Pregnancy and failure rates'!$A$10:$B$17, 2, FALSE)</f>
        <v>#N/A</v>
      </c>
      <c r="Q44" s="357" t="e">
        <f>Q33*VLOOKUP($Y44, 'Pregnancy and failure rates'!$A$10:$B$17, 2, FALSE)</f>
        <v>#N/A</v>
      </c>
      <c r="R44" s="357" t="e">
        <f>R33*VLOOKUP($Y44, 'Pregnancy and failure rates'!$A$10:$B$17, 2, FALSE)</f>
        <v>#N/A</v>
      </c>
      <c r="S44" s="357" t="e">
        <f>S33*VLOOKUP($Y44, 'Pregnancy and failure rates'!$A$10:$B$17, 2, FALSE)</f>
        <v>#N/A</v>
      </c>
      <c r="T44" s="357" t="e">
        <f>T33*VLOOKUP($Y44, 'Pregnancy and failure rates'!$A$10:$B$17, 2, FALSE)</f>
        <v>#N/A</v>
      </c>
      <c r="U44" s="357" t="e">
        <f>U33*VLOOKUP($Y44, 'Pregnancy and failure rates'!$A$10:$B$17, 2, FALSE)</f>
        <v>#N/A</v>
      </c>
      <c r="V44" s="357" t="e">
        <f>V33*VLOOKUP($Y44, 'Pregnancy and failure rates'!$A$10:$B$17, 2, FALSE)</f>
        <v>#N/A</v>
      </c>
      <c r="Y44" s="358" t="s">
        <v>2</v>
      </c>
      <c r="Z44" s="358" t="s">
        <v>18</v>
      </c>
      <c r="AA44" s="205"/>
    </row>
    <row r="45" spans="1:27" x14ac:dyDescent="0.3">
      <c r="A45" s="205"/>
      <c r="B45" s="205"/>
      <c r="C45" s="356" t="str">
        <f>$C$34</f>
        <v>Male Condom</v>
      </c>
      <c r="D45" s="357" t="e">
        <f>D34*VLOOKUP($Y45, 'Pregnancy and failure rates'!$A$10:$B$17, 2, FALSE)</f>
        <v>#N/A</v>
      </c>
      <c r="E45" s="357" t="e">
        <f>E34*VLOOKUP($Y45, 'Pregnancy and failure rates'!$A$10:$B$17, 2, FALSE)</f>
        <v>#N/A</v>
      </c>
      <c r="F45" s="357" t="e">
        <f>F34*VLOOKUP($Y45, 'Pregnancy and failure rates'!$A$10:$B$17, 2, FALSE)</f>
        <v>#N/A</v>
      </c>
      <c r="G45" s="357" t="e">
        <f>G34*VLOOKUP($Y45, 'Pregnancy and failure rates'!$A$10:$B$17, 2, FALSE)</f>
        <v>#N/A</v>
      </c>
      <c r="H45" s="357" t="e">
        <f>H34*VLOOKUP($Y45, 'Pregnancy and failure rates'!$A$10:$B$17, 2, FALSE)</f>
        <v>#N/A</v>
      </c>
      <c r="I45" s="357" t="e">
        <f>I34*VLOOKUP($Y45, 'Pregnancy and failure rates'!$A$10:$B$17, 2, FALSE)</f>
        <v>#N/A</v>
      </c>
      <c r="J45" s="357" t="e">
        <f>J34*VLOOKUP($Y45, 'Pregnancy and failure rates'!$A$10:$B$17, 2, FALSE)</f>
        <v>#N/A</v>
      </c>
      <c r="K45" s="357" t="e">
        <f>K34*VLOOKUP($Y45, 'Pregnancy and failure rates'!$A$10:$B$17, 2, FALSE)</f>
        <v>#N/A</v>
      </c>
      <c r="L45" s="357" t="e">
        <f>L34*VLOOKUP($Y45, 'Pregnancy and failure rates'!$A$10:$B$17, 2, FALSE)</f>
        <v>#N/A</v>
      </c>
      <c r="M45" s="357" t="e">
        <f>M34*VLOOKUP($Y45, 'Pregnancy and failure rates'!$A$10:$B$17, 2, FALSE)</f>
        <v>#N/A</v>
      </c>
      <c r="N45" s="357" t="e">
        <f>N34*VLOOKUP($Y45, 'Pregnancy and failure rates'!$A$10:$B$17, 2, FALSE)</f>
        <v>#N/A</v>
      </c>
      <c r="O45" s="357" t="e">
        <f>O34*VLOOKUP($Y45, 'Pregnancy and failure rates'!$A$10:$B$17, 2, FALSE)</f>
        <v>#N/A</v>
      </c>
      <c r="P45" s="357" t="e">
        <f>P34*VLOOKUP($Y45, 'Pregnancy and failure rates'!$A$10:$B$17, 2, FALSE)</f>
        <v>#N/A</v>
      </c>
      <c r="Q45" s="357" t="e">
        <f>Q34*VLOOKUP($Y45, 'Pregnancy and failure rates'!$A$10:$B$17, 2, FALSE)</f>
        <v>#N/A</v>
      </c>
      <c r="R45" s="357" t="e">
        <f>R34*VLOOKUP($Y45, 'Pregnancy and failure rates'!$A$10:$B$17, 2, FALSE)</f>
        <v>#N/A</v>
      </c>
      <c r="S45" s="357" t="e">
        <f>S34*VLOOKUP($Y45, 'Pregnancy and failure rates'!$A$10:$B$17, 2, FALSE)</f>
        <v>#N/A</v>
      </c>
      <c r="T45" s="357" t="e">
        <f>T34*VLOOKUP($Y45, 'Pregnancy and failure rates'!$A$10:$B$17, 2, FALSE)</f>
        <v>#N/A</v>
      </c>
      <c r="U45" s="357" t="e">
        <f>U34*VLOOKUP($Y45, 'Pregnancy and failure rates'!$A$10:$B$17, 2, FALSE)</f>
        <v>#N/A</v>
      </c>
      <c r="V45" s="357" t="e">
        <f>V34*VLOOKUP($Y45, 'Pregnancy and failure rates'!$A$10:$B$17, 2, FALSE)</f>
        <v>#N/A</v>
      </c>
      <c r="Y45" s="358" t="s">
        <v>651</v>
      </c>
      <c r="Z45" s="358" t="s">
        <v>659</v>
      </c>
      <c r="AA45" s="205"/>
    </row>
    <row r="46" spans="1:27" x14ac:dyDescent="0.3">
      <c r="A46" s="205"/>
      <c r="B46" s="205"/>
      <c r="C46" s="356" t="str">
        <f>$C$35</f>
        <v>LAM &amp; Other Modern Methods</v>
      </c>
      <c r="D46" s="357" t="e">
        <f>D35*VLOOKUP($Y46, 'Pregnancy and failure rates'!$A$10:$B$17, 2, FALSE)</f>
        <v>#N/A</v>
      </c>
      <c r="E46" s="357" t="e">
        <f>E35*VLOOKUP($Y46, 'Pregnancy and failure rates'!$A$10:$B$17, 2, FALSE)</f>
        <v>#N/A</v>
      </c>
      <c r="F46" s="357" t="e">
        <f>F35*VLOOKUP($Y46, 'Pregnancy and failure rates'!$A$10:$B$17, 2, FALSE)</f>
        <v>#N/A</v>
      </c>
      <c r="G46" s="357" t="e">
        <f>G35*VLOOKUP($Y46, 'Pregnancy and failure rates'!$A$10:$B$17, 2, FALSE)</f>
        <v>#N/A</v>
      </c>
      <c r="H46" s="357" t="e">
        <f>H35*VLOOKUP($Y46, 'Pregnancy and failure rates'!$A$10:$B$17, 2, FALSE)</f>
        <v>#N/A</v>
      </c>
      <c r="I46" s="357" t="e">
        <f>I35*VLOOKUP($Y46, 'Pregnancy and failure rates'!$A$10:$B$17, 2, FALSE)</f>
        <v>#N/A</v>
      </c>
      <c r="J46" s="357" t="e">
        <f>J35*VLOOKUP($Y46, 'Pregnancy and failure rates'!$A$10:$B$17, 2, FALSE)</f>
        <v>#N/A</v>
      </c>
      <c r="K46" s="357" t="e">
        <f>K35*VLOOKUP($Y46, 'Pregnancy and failure rates'!$A$10:$B$17, 2, FALSE)</f>
        <v>#N/A</v>
      </c>
      <c r="L46" s="357" t="e">
        <f>L35*VLOOKUP($Y46, 'Pregnancy and failure rates'!$A$10:$B$17, 2, FALSE)</f>
        <v>#N/A</v>
      </c>
      <c r="M46" s="357" t="e">
        <f>M35*VLOOKUP($Y46, 'Pregnancy and failure rates'!$A$10:$B$17, 2, FALSE)</f>
        <v>#N/A</v>
      </c>
      <c r="N46" s="357" t="e">
        <f>N35*VLOOKUP($Y46, 'Pregnancy and failure rates'!$A$10:$B$17, 2, FALSE)</f>
        <v>#N/A</v>
      </c>
      <c r="O46" s="357" t="e">
        <f>O35*VLOOKUP($Y46, 'Pregnancy and failure rates'!$A$10:$B$17, 2, FALSE)</f>
        <v>#N/A</v>
      </c>
      <c r="P46" s="357" t="e">
        <f>P35*VLOOKUP($Y46, 'Pregnancy and failure rates'!$A$10:$B$17, 2, FALSE)</f>
        <v>#N/A</v>
      </c>
      <c r="Q46" s="357" t="e">
        <f>Q35*VLOOKUP($Y46, 'Pregnancy and failure rates'!$A$10:$B$17, 2, FALSE)</f>
        <v>#N/A</v>
      </c>
      <c r="R46" s="357" t="e">
        <f>R35*VLOOKUP($Y46, 'Pregnancy and failure rates'!$A$10:$B$17, 2, FALSE)</f>
        <v>#N/A</v>
      </c>
      <c r="S46" s="357" t="e">
        <f>S35*VLOOKUP($Y46, 'Pregnancy and failure rates'!$A$10:$B$17, 2, FALSE)</f>
        <v>#N/A</v>
      </c>
      <c r="T46" s="357" t="e">
        <f>T35*VLOOKUP($Y46, 'Pregnancy and failure rates'!$A$10:$B$17, 2, FALSE)</f>
        <v>#N/A</v>
      </c>
      <c r="U46" s="357" t="e">
        <f>U35*VLOOKUP($Y46, 'Pregnancy and failure rates'!$A$10:$B$17, 2, FALSE)</f>
        <v>#N/A</v>
      </c>
      <c r="V46" s="357" t="e">
        <f>V35*VLOOKUP($Y46, 'Pregnancy and failure rates'!$A$10:$B$17, 2, FALSE)</f>
        <v>#N/A</v>
      </c>
      <c r="Y46" s="358" t="s">
        <v>437</v>
      </c>
      <c r="Z46" s="358" t="s">
        <v>438</v>
      </c>
      <c r="AA46" s="205"/>
    </row>
    <row r="47" spans="1:27" x14ac:dyDescent="0.3">
      <c r="A47" s="205"/>
      <c r="B47" s="205"/>
      <c r="C47" s="359" t="s">
        <v>7</v>
      </c>
      <c r="D47" s="357" t="e">
        <f t="shared" ref="D47:L47" si="3">SUM(D39:D46)</f>
        <v>#N/A</v>
      </c>
      <c r="E47" s="357" t="e">
        <f t="shared" si="3"/>
        <v>#N/A</v>
      </c>
      <c r="F47" s="357" t="e">
        <f t="shared" si="3"/>
        <v>#N/A</v>
      </c>
      <c r="G47" s="357" t="e">
        <f t="shared" si="3"/>
        <v>#N/A</v>
      </c>
      <c r="H47" s="357" t="e">
        <f t="shared" si="3"/>
        <v>#N/A</v>
      </c>
      <c r="I47" s="357" t="e">
        <f t="shared" si="3"/>
        <v>#N/A</v>
      </c>
      <c r="J47" s="357" t="e">
        <f t="shared" si="3"/>
        <v>#N/A</v>
      </c>
      <c r="K47" s="357" t="e">
        <f t="shared" si="3"/>
        <v>#N/A</v>
      </c>
      <c r="L47" s="357" t="e">
        <f t="shared" si="3"/>
        <v>#N/A</v>
      </c>
      <c r="M47" s="357" t="e">
        <f t="shared" ref="M47:V47" si="4">SUM(M39:M46)</f>
        <v>#N/A</v>
      </c>
      <c r="N47" s="357" t="e">
        <f t="shared" si="4"/>
        <v>#N/A</v>
      </c>
      <c r="O47" s="357" t="e">
        <f t="shared" si="4"/>
        <v>#N/A</v>
      </c>
      <c r="P47" s="357" t="e">
        <f t="shared" si="4"/>
        <v>#N/A</v>
      </c>
      <c r="Q47" s="357" t="e">
        <f t="shared" si="4"/>
        <v>#N/A</v>
      </c>
      <c r="R47" s="357" t="e">
        <f t="shared" si="4"/>
        <v>#N/A</v>
      </c>
      <c r="S47" s="357" t="e">
        <f t="shared" si="4"/>
        <v>#N/A</v>
      </c>
      <c r="T47" s="357" t="e">
        <f t="shared" si="4"/>
        <v>#N/A</v>
      </c>
      <c r="U47" s="357" t="e">
        <f t="shared" si="4"/>
        <v>#N/A</v>
      </c>
      <c r="V47" s="357" t="e">
        <f t="shared" si="4"/>
        <v>#N/A</v>
      </c>
      <c r="Y47" s="205"/>
      <c r="Z47" s="205"/>
      <c r="AA47" s="205"/>
    </row>
    <row r="48" spans="1:27" x14ac:dyDescent="0.3">
      <c r="R48" s="9"/>
      <c r="S48" s="9"/>
      <c r="T48" s="9"/>
      <c r="U48" s="9"/>
    </row>
    <row r="49" spans="3:26" x14ac:dyDescent="0.3">
      <c r="C49" s="103" t="str">
        <f>IF(Language=English, Y49, Z49)</f>
        <v>Pregnancies if no modern methods</v>
      </c>
      <c r="D49" s="104"/>
      <c r="E49" s="104"/>
      <c r="F49" s="104"/>
      <c r="G49" s="104"/>
      <c r="H49" s="104"/>
      <c r="I49" s="104"/>
      <c r="J49" s="104"/>
      <c r="K49" s="104"/>
      <c r="L49" s="104"/>
      <c r="M49" s="104"/>
      <c r="N49" s="104"/>
      <c r="O49" s="104"/>
      <c r="P49" s="104"/>
      <c r="Q49" s="104"/>
      <c r="R49" s="104"/>
      <c r="S49" s="104"/>
      <c r="T49" s="104"/>
      <c r="U49" s="104"/>
      <c r="V49" s="104"/>
      <c r="Y49" s="9" t="s">
        <v>478</v>
      </c>
      <c r="Z49" s="9" t="s">
        <v>479</v>
      </c>
    </row>
    <row r="50" spans="3:26" x14ac:dyDescent="0.3">
      <c r="C50" s="105" t="str">
        <f>$C$28</f>
        <v>Female sterilization</v>
      </c>
      <c r="D50" s="107" t="e">
        <f>D28*'Pregnancy and failure rates'!$B$3</f>
        <v>#N/A</v>
      </c>
      <c r="E50" s="107" t="e">
        <f>E28*'Pregnancy and failure rates'!$B$3</f>
        <v>#N/A</v>
      </c>
      <c r="F50" s="107" t="e">
        <f>F28*'Pregnancy and failure rates'!$B$3</f>
        <v>#N/A</v>
      </c>
      <c r="G50" s="107" t="e">
        <f>G28*'Pregnancy and failure rates'!$B$3</f>
        <v>#N/A</v>
      </c>
      <c r="H50" s="107" t="e">
        <f>H28*'Pregnancy and failure rates'!$B$3</f>
        <v>#N/A</v>
      </c>
      <c r="I50" s="107" t="e">
        <f>I28*'Pregnancy and failure rates'!$B$3</f>
        <v>#N/A</v>
      </c>
      <c r="J50" s="107" t="e">
        <f>J28*'Pregnancy and failure rates'!$B$3</f>
        <v>#N/A</v>
      </c>
      <c r="K50" s="107" t="e">
        <f>K28*'Pregnancy and failure rates'!$B$3</f>
        <v>#N/A</v>
      </c>
      <c r="L50" s="107" t="e">
        <f>L28*'Pregnancy and failure rates'!$B$3</f>
        <v>#N/A</v>
      </c>
      <c r="M50" s="107" t="e">
        <f>M28*'Pregnancy and failure rates'!$B$3</f>
        <v>#N/A</v>
      </c>
      <c r="N50" s="107" t="e">
        <f>N28*'Pregnancy and failure rates'!$B$3</f>
        <v>#N/A</v>
      </c>
      <c r="O50" s="107" t="e">
        <f>O28*'Pregnancy and failure rates'!$B$3</f>
        <v>#N/A</v>
      </c>
      <c r="P50" s="107" t="e">
        <f>P28*'Pregnancy and failure rates'!$B$3</f>
        <v>#N/A</v>
      </c>
      <c r="Q50" s="107" t="e">
        <f>Q28*'Pregnancy and failure rates'!$B$3</f>
        <v>#N/A</v>
      </c>
      <c r="R50" s="107" t="e">
        <f>R28*'Pregnancy and failure rates'!$B$3</f>
        <v>#N/A</v>
      </c>
      <c r="S50" s="107" t="e">
        <f>S28*'Pregnancy and failure rates'!$B$3</f>
        <v>#N/A</v>
      </c>
      <c r="T50" s="107" t="e">
        <f>T28*'Pregnancy and failure rates'!$B$3</f>
        <v>#N/A</v>
      </c>
      <c r="U50" s="107" t="e">
        <f>U28*'Pregnancy and failure rates'!$B$3</f>
        <v>#N/A</v>
      </c>
      <c r="V50" s="107" t="e">
        <f>V28*'Pregnancy and failure rates'!$B$3</f>
        <v>#N/A</v>
      </c>
    </row>
    <row r="51" spans="3:26" x14ac:dyDescent="0.3">
      <c r="C51" s="105" t="str">
        <f>$C$29</f>
        <v>Male sterilization</v>
      </c>
      <c r="D51" s="107" t="e">
        <f>D29*'Pregnancy and failure rates'!$B$3</f>
        <v>#N/A</v>
      </c>
      <c r="E51" s="107" t="e">
        <f>E29*'Pregnancy and failure rates'!$B$3</f>
        <v>#N/A</v>
      </c>
      <c r="F51" s="107" t="e">
        <f>F29*'Pregnancy and failure rates'!$B$3</f>
        <v>#N/A</v>
      </c>
      <c r="G51" s="107" t="e">
        <f>G29*'Pregnancy and failure rates'!$B$3</f>
        <v>#N/A</v>
      </c>
      <c r="H51" s="107" t="e">
        <f>H29*'Pregnancy and failure rates'!$B$3</f>
        <v>#N/A</v>
      </c>
      <c r="I51" s="107" t="e">
        <f>I29*'Pregnancy and failure rates'!$B$3</f>
        <v>#N/A</v>
      </c>
      <c r="J51" s="107" t="e">
        <f>J29*'Pregnancy and failure rates'!$B$3</f>
        <v>#N/A</v>
      </c>
      <c r="K51" s="107" t="e">
        <f>K29*'Pregnancy and failure rates'!$B$3</f>
        <v>#N/A</v>
      </c>
      <c r="L51" s="107" t="e">
        <f>L29*'Pregnancy and failure rates'!$B$3</f>
        <v>#N/A</v>
      </c>
      <c r="M51" s="107" t="e">
        <f>M29*'Pregnancy and failure rates'!$B$3</f>
        <v>#N/A</v>
      </c>
      <c r="N51" s="107" t="e">
        <f>N29*'Pregnancy and failure rates'!$B$3</f>
        <v>#N/A</v>
      </c>
      <c r="O51" s="107" t="e">
        <f>O29*'Pregnancy and failure rates'!$B$3</f>
        <v>#N/A</v>
      </c>
      <c r="P51" s="107" t="e">
        <f>P29*'Pregnancy and failure rates'!$B$3</f>
        <v>#N/A</v>
      </c>
      <c r="Q51" s="107" t="e">
        <f>Q29*'Pregnancy and failure rates'!$B$3</f>
        <v>#N/A</v>
      </c>
      <c r="R51" s="107" t="e">
        <f>R29*'Pregnancy and failure rates'!$B$3</f>
        <v>#N/A</v>
      </c>
      <c r="S51" s="107" t="e">
        <f>S29*'Pregnancy and failure rates'!$B$3</f>
        <v>#N/A</v>
      </c>
      <c r="T51" s="107" t="e">
        <f>T29*'Pregnancy and failure rates'!$B$3</f>
        <v>#N/A</v>
      </c>
      <c r="U51" s="107" t="e">
        <f>U29*'Pregnancy and failure rates'!$B$3</f>
        <v>#N/A</v>
      </c>
      <c r="V51" s="107" t="e">
        <f>V29*'Pregnancy and failure rates'!$B$3</f>
        <v>#N/A</v>
      </c>
    </row>
    <row r="52" spans="3:26" x14ac:dyDescent="0.3">
      <c r="C52" s="105" t="str">
        <f>$C$30</f>
        <v>IUD</v>
      </c>
      <c r="D52" s="107" t="e">
        <f>D30*'Pregnancy and failure rates'!$B$3</f>
        <v>#N/A</v>
      </c>
      <c r="E52" s="107" t="e">
        <f>E30*'Pregnancy and failure rates'!$B$3</f>
        <v>#N/A</v>
      </c>
      <c r="F52" s="107" t="e">
        <f>F30*'Pregnancy and failure rates'!$B$3</f>
        <v>#N/A</v>
      </c>
      <c r="G52" s="107" t="e">
        <f>G30*'Pregnancy and failure rates'!$B$3</f>
        <v>#N/A</v>
      </c>
      <c r="H52" s="107" t="e">
        <f>H30*'Pregnancy and failure rates'!$B$3</f>
        <v>#N/A</v>
      </c>
      <c r="I52" s="107" t="e">
        <f>I30*'Pregnancy and failure rates'!$B$3</f>
        <v>#N/A</v>
      </c>
      <c r="J52" s="107" t="e">
        <f>J30*'Pregnancy and failure rates'!$B$3</f>
        <v>#N/A</v>
      </c>
      <c r="K52" s="107" t="e">
        <f>K30*'Pregnancy and failure rates'!$B$3</f>
        <v>#N/A</v>
      </c>
      <c r="L52" s="107" t="e">
        <f>L30*'Pregnancy and failure rates'!$B$3</f>
        <v>#N/A</v>
      </c>
      <c r="M52" s="107" t="e">
        <f>M30*'Pregnancy and failure rates'!$B$3</f>
        <v>#N/A</v>
      </c>
      <c r="N52" s="107" t="e">
        <f>N30*'Pregnancy and failure rates'!$B$3</f>
        <v>#N/A</v>
      </c>
      <c r="O52" s="107" t="e">
        <f>O30*'Pregnancy and failure rates'!$B$3</f>
        <v>#N/A</v>
      </c>
      <c r="P52" s="107" t="e">
        <f>P30*'Pregnancy and failure rates'!$B$3</f>
        <v>#N/A</v>
      </c>
      <c r="Q52" s="107" t="e">
        <f>Q30*'Pregnancy and failure rates'!$B$3</f>
        <v>#N/A</v>
      </c>
      <c r="R52" s="107" t="e">
        <f>R30*'Pregnancy and failure rates'!$B$3</f>
        <v>#N/A</v>
      </c>
      <c r="S52" s="107" t="e">
        <f>S30*'Pregnancy and failure rates'!$B$3</f>
        <v>#N/A</v>
      </c>
      <c r="T52" s="107" t="e">
        <f>T30*'Pregnancy and failure rates'!$B$3</f>
        <v>#N/A</v>
      </c>
      <c r="U52" s="107" t="e">
        <f>U30*'Pregnancy and failure rates'!$B$3</f>
        <v>#N/A</v>
      </c>
      <c r="V52" s="107" t="e">
        <f>V30*'Pregnancy and failure rates'!$B$3</f>
        <v>#N/A</v>
      </c>
    </row>
    <row r="53" spans="3:26" x14ac:dyDescent="0.3">
      <c r="C53" s="105" t="str">
        <f>$C$31</f>
        <v>Implants</v>
      </c>
      <c r="D53" s="107" t="e">
        <f>D31*'Pregnancy and failure rates'!$B$3</f>
        <v>#N/A</v>
      </c>
      <c r="E53" s="107" t="e">
        <f>E31*'Pregnancy and failure rates'!$B$3</f>
        <v>#N/A</v>
      </c>
      <c r="F53" s="107" t="e">
        <f>F31*'Pregnancy and failure rates'!$B$3</f>
        <v>#N/A</v>
      </c>
      <c r="G53" s="107" t="e">
        <f>G31*'Pregnancy and failure rates'!$B$3</f>
        <v>#N/A</v>
      </c>
      <c r="H53" s="107" t="e">
        <f>H31*'Pregnancy and failure rates'!$B$3</f>
        <v>#N/A</v>
      </c>
      <c r="I53" s="107" t="e">
        <f>I31*'Pregnancy and failure rates'!$B$3</f>
        <v>#N/A</v>
      </c>
      <c r="J53" s="107" t="e">
        <f>J31*'Pregnancy and failure rates'!$B$3</f>
        <v>#N/A</v>
      </c>
      <c r="K53" s="107" t="e">
        <f>K31*'Pregnancy and failure rates'!$B$3</f>
        <v>#N/A</v>
      </c>
      <c r="L53" s="107" t="e">
        <f>L31*'Pregnancy and failure rates'!$B$3</f>
        <v>#N/A</v>
      </c>
      <c r="M53" s="107" t="e">
        <f>M31*'Pregnancy and failure rates'!$B$3</f>
        <v>#N/A</v>
      </c>
      <c r="N53" s="107" t="e">
        <f>N31*'Pregnancy and failure rates'!$B$3</f>
        <v>#N/A</v>
      </c>
      <c r="O53" s="107" t="e">
        <f>O31*'Pregnancy and failure rates'!$B$3</f>
        <v>#N/A</v>
      </c>
      <c r="P53" s="107" t="e">
        <f>P31*'Pregnancy and failure rates'!$B$3</f>
        <v>#N/A</v>
      </c>
      <c r="Q53" s="107" t="e">
        <f>Q31*'Pregnancy and failure rates'!$B$3</f>
        <v>#N/A</v>
      </c>
      <c r="R53" s="107" t="e">
        <f>R31*'Pregnancy and failure rates'!$B$3</f>
        <v>#N/A</v>
      </c>
      <c r="S53" s="107" t="e">
        <f>S31*'Pregnancy and failure rates'!$B$3</f>
        <v>#N/A</v>
      </c>
      <c r="T53" s="107" t="e">
        <f>T31*'Pregnancy and failure rates'!$B$3</f>
        <v>#N/A</v>
      </c>
      <c r="U53" s="107" t="e">
        <f>U31*'Pregnancy and failure rates'!$B$3</f>
        <v>#N/A</v>
      </c>
      <c r="V53" s="107" t="e">
        <f>V31*'Pregnancy and failure rates'!$B$3</f>
        <v>#N/A</v>
      </c>
    </row>
    <row r="54" spans="3:26" x14ac:dyDescent="0.3">
      <c r="C54" s="105" t="str">
        <f>$C$32</f>
        <v>Injections</v>
      </c>
      <c r="D54" s="107" t="e">
        <f>D32*'Pregnancy and failure rates'!$B$3</f>
        <v>#N/A</v>
      </c>
      <c r="E54" s="107" t="e">
        <f>E32*'Pregnancy and failure rates'!$B$3</f>
        <v>#N/A</v>
      </c>
      <c r="F54" s="107" t="e">
        <f>F32*'Pregnancy and failure rates'!$B$3</f>
        <v>#N/A</v>
      </c>
      <c r="G54" s="107" t="e">
        <f>G32*'Pregnancy and failure rates'!$B$3</f>
        <v>#N/A</v>
      </c>
      <c r="H54" s="107" t="e">
        <f>H32*'Pregnancy and failure rates'!$B$3</f>
        <v>#N/A</v>
      </c>
      <c r="I54" s="107" t="e">
        <f>I32*'Pregnancy and failure rates'!$B$3</f>
        <v>#N/A</v>
      </c>
      <c r="J54" s="107" t="e">
        <f>J32*'Pregnancy and failure rates'!$B$3</f>
        <v>#N/A</v>
      </c>
      <c r="K54" s="107" t="e">
        <f>K32*'Pregnancy and failure rates'!$B$3</f>
        <v>#N/A</v>
      </c>
      <c r="L54" s="107" t="e">
        <f>L32*'Pregnancy and failure rates'!$B$3</f>
        <v>#N/A</v>
      </c>
      <c r="M54" s="107" t="e">
        <f>M32*'Pregnancy and failure rates'!$B$3</f>
        <v>#N/A</v>
      </c>
      <c r="N54" s="107" t="e">
        <f>N32*'Pregnancy and failure rates'!$B$3</f>
        <v>#N/A</v>
      </c>
      <c r="O54" s="107" t="e">
        <f>O32*'Pregnancy and failure rates'!$B$3</f>
        <v>#N/A</v>
      </c>
      <c r="P54" s="107" t="e">
        <f>P32*'Pregnancy and failure rates'!$B$3</f>
        <v>#N/A</v>
      </c>
      <c r="Q54" s="107" t="e">
        <f>Q32*'Pregnancy and failure rates'!$B$3</f>
        <v>#N/A</v>
      </c>
      <c r="R54" s="107" t="e">
        <f>R32*'Pregnancy and failure rates'!$B$3</f>
        <v>#N/A</v>
      </c>
      <c r="S54" s="107" t="e">
        <f>S32*'Pregnancy and failure rates'!$B$3</f>
        <v>#N/A</v>
      </c>
      <c r="T54" s="107" t="e">
        <f>T32*'Pregnancy and failure rates'!$B$3</f>
        <v>#N/A</v>
      </c>
      <c r="U54" s="107" t="e">
        <f>U32*'Pregnancy and failure rates'!$B$3</f>
        <v>#N/A</v>
      </c>
      <c r="V54" s="107" t="e">
        <f>V32*'Pregnancy and failure rates'!$B$3</f>
        <v>#N/A</v>
      </c>
    </row>
    <row r="55" spans="3:26" x14ac:dyDescent="0.3">
      <c r="C55" s="105" t="str">
        <f>$C$33</f>
        <v>Pill</v>
      </c>
      <c r="D55" s="107" t="e">
        <f>D33*'Pregnancy and failure rates'!$B$3</f>
        <v>#N/A</v>
      </c>
      <c r="E55" s="107" t="e">
        <f>E33*'Pregnancy and failure rates'!$B$3</f>
        <v>#N/A</v>
      </c>
      <c r="F55" s="107" t="e">
        <f>F33*'Pregnancy and failure rates'!$B$3</f>
        <v>#N/A</v>
      </c>
      <c r="G55" s="107" t="e">
        <f>G33*'Pregnancy and failure rates'!$B$3</f>
        <v>#N/A</v>
      </c>
      <c r="H55" s="107" t="e">
        <f>H33*'Pregnancy and failure rates'!$B$3</f>
        <v>#N/A</v>
      </c>
      <c r="I55" s="107" t="e">
        <f>I33*'Pregnancy and failure rates'!$B$3</f>
        <v>#N/A</v>
      </c>
      <c r="J55" s="107" t="e">
        <f>J33*'Pregnancy and failure rates'!$B$3</f>
        <v>#N/A</v>
      </c>
      <c r="K55" s="107" t="e">
        <f>K33*'Pregnancy and failure rates'!$B$3</f>
        <v>#N/A</v>
      </c>
      <c r="L55" s="107" t="e">
        <f>L33*'Pregnancy and failure rates'!$B$3</f>
        <v>#N/A</v>
      </c>
      <c r="M55" s="107" t="e">
        <f>M33*'Pregnancy and failure rates'!$B$3</f>
        <v>#N/A</v>
      </c>
      <c r="N55" s="107" t="e">
        <f>N33*'Pregnancy and failure rates'!$B$3</f>
        <v>#N/A</v>
      </c>
      <c r="O55" s="107" t="e">
        <f>O33*'Pregnancy and failure rates'!$B$3</f>
        <v>#N/A</v>
      </c>
      <c r="P55" s="107" t="e">
        <f>P33*'Pregnancy and failure rates'!$B$3</f>
        <v>#N/A</v>
      </c>
      <c r="Q55" s="107" t="e">
        <f>Q33*'Pregnancy and failure rates'!$B$3</f>
        <v>#N/A</v>
      </c>
      <c r="R55" s="107" t="e">
        <f>R33*'Pregnancy and failure rates'!$B$3</f>
        <v>#N/A</v>
      </c>
      <c r="S55" s="107" t="e">
        <f>S33*'Pregnancy and failure rates'!$B$3</f>
        <v>#N/A</v>
      </c>
      <c r="T55" s="107" t="e">
        <f>T33*'Pregnancy and failure rates'!$B$3</f>
        <v>#N/A</v>
      </c>
      <c r="U55" s="107" t="e">
        <f>U33*'Pregnancy and failure rates'!$B$3</f>
        <v>#N/A</v>
      </c>
      <c r="V55" s="107" t="e">
        <f>V33*'Pregnancy and failure rates'!$B$3</f>
        <v>#N/A</v>
      </c>
    </row>
    <row r="56" spans="3:26" x14ac:dyDescent="0.3">
      <c r="C56" s="105" t="str">
        <f>$C$34</f>
        <v>Male Condom</v>
      </c>
      <c r="D56" s="107" t="e">
        <f>D34*'Pregnancy and failure rates'!$B$3</f>
        <v>#N/A</v>
      </c>
      <c r="E56" s="107" t="e">
        <f>E34*'Pregnancy and failure rates'!$B$3</f>
        <v>#N/A</v>
      </c>
      <c r="F56" s="107" t="e">
        <f>F34*'Pregnancy and failure rates'!$B$3</f>
        <v>#N/A</v>
      </c>
      <c r="G56" s="107" t="e">
        <f>G34*'Pregnancy and failure rates'!$B$3</f>
        <v>#N/A</v>
      </c>
      <c r="H56" s="107" t="e">
        <f>H34*'Pregnancy and failure rates'!$B$3</f>
        <v>#N/A</v>
      </c>
      <c r="I56" s="107" t="e">
        <f>I34*'Pregnancy and failure rates'!$B$3</f>
        <v>#N/A</v>
      </c>
      <c r="J56" s="107" t="e">
        <f>J34*'Pregnancy and failure rates'!$B$3</f>
        <v>#N/A</v>
      </c>
      <c r="K56" s="107" t="e">
        <f>K34*'Pregnancy and failure rates'!$B$3</f>
        <v>#N/A</v>
      </c>
      <c r="L56" s="107" t="e">
        <f>L34*'Pregnancy and failure rates'!$B$3</f>
        <v>#N/A</v>
      </c>
      <c r="M56" s="107" t="e">
        <f>M34*'Pregnancy and failure rates'!$B$3</f>
        <v>#N/A</v>
      </c>
      <c r="N56" s="107" t="e">
        <f>N34*'Pregnancy and failure rates'!$B$3</f>
        <v>#N/A</v>
      </c>
      <c r="O56" s="107" t="e">
        <f>O34*'Pregnancy and failure rates'!$B$3</f>
        <v>#N/A</v>
      </c>
      <c r="P56" s="107" t="e">
        <f>P34*'Pregnancy and failure rates'!$B$3</f>
        <v>#N/A</v>
      </c>
      <c r="Q56" s="107" t="e">
        <f>Q34*'Pregnancy and failure rates'!$B$3</f>
        <v>#N/A</v>
      </c>
      <c r="R56" s="107" t="e">
        <f>R34*'Pregnancy and failure rates'!$B$3</f>
        <v>#N/A</v>
      </c>
      <c r="S56" s="107" t="e">
        <f>S34*'Pregnancy and failure rates'!$B$3</f>
        <v>#N/A</v>
      </c>
      <c r="T56" s="107" t="e">
        <f>T34*'Pregnancy and failure rates'!$B$3</f>
        <v>#N/A</v>
      </c>
      <c r="U56" s="107" t="e">
        <f>U34*'Pregnancy and failure rates'!$B$3</f>
        <v>#N/A</v>
      </c>
      <c r="V56" s="107" t="e">
        <f>V34*'Pregnancy and failure rates'!$B$3</f>
        <v>#N/A</v>
      </c>
    </row>
    <row r="57" spans="3:26" x14ac:dyDescent="0.3">
      <c r="C57" s="105" t="str">
        <f>$C$35</f>
        <v>LAM &amp; Other Modern Methods</v>
      </c>
      <c r="D57" s="107" t="e">
        <f>D35*'Pregnancy and failure rates'!$B$3</f>
        <v>#N/A</v>
      </c>
      <c r="E57" s="107" t="e">
        <f>E35*'Pregnancy and failure rates'!$B$3</f>
        <v>#N/A</v>
      </c>
      <c r="F57" s="107" t="e">
        <f>F35*'Pregnancy and failure rates'!$B$3</f>
        <v>#N/A</v>
      </c>
      <c r="G57" s="107" t="e">
        <f>G35*'Pregnancy and failure rates'!$B$3</f>
        <v>#N/A</v>
      </c>
      <c r="H57" s="107" t="e">
        <f>H35*'Pregnancy and failure rates'!$B$3</f>
        <v>#N/A</v>
      </c>
      <c r="I57" s="107" t="e">
        <f>I35*'Pregnancy and failure rates'!$B$3</f>
        <v>#N/A</v>
      </c>
      <c r="J57" s="107" t="e">
        <f>J35*'Pregnancy and failure rates'!$B$3</f>
        <v>#N/A</v>
      </c>
      <c r="K57" s="107" t="e">
        <f>K35*'Pregnancy and failure rates'!$B$3</f>
        <v>#N/A</v>
      </c>
      <c r="L57" s="107" t="e">
        <f>L35*'Pregnancy and failure rates'!$B$3</f>
        <v>#N/A</v>
      </c>
      <c r="M57" s="107" t="e">
        <f>M35*'Pregnancy and failure rates'!$B$3</f>
        <v>#N/A</v>
      </c>
      <c r="N57" s="107" t="e">
        <f>N35*'Pregnancy and failure rates'!$B$3</f>
        <v>#N/A</v>
      </c>
      <c r="O57" s="107" t="e">
        <f>O35*'Pregnancy and failure rates'!$B$3</f>
        <v>#N/A</v>
      </c>
      <c r="P57" s="107" t="e">
        <f>P35*'Pregnancy and failure rates'!$B$3</f>
        <v>#N/A</v>
      </c>
      <c r="Q57" s="107" t="e">
        <f>Q35*'Pregnancy and failure rates'!$B$3</f>
        <v>#N/A</v>
      </c>
      <c r="R57" s="107" t="e">
        <f>R35*'Pregnancy and failure rates'!$B$3</f>
        <v>#N/A</v>
      </c>
      <c r="S57" s="107" t="e">
        <f>S35*'Pregnancy and failure rates'!$B$3</f>
        <v>#N/A</v>
      </c>
      <c r="T57" s="107" t="e">
        <f>T35*'Pregnancy and failure rates'!$B$3</f>
        <v>#N/A</v>
      </c>
      <c r="U57" s="107" t="e">
        <f>U35*'Pregnancy and failure rates'!$B$3</f>
        <v>#N/A</v>
      </c>
      <c r="V57" s="107" t="e">
        <f>V35*'Pregnancy and failure rates'!$B$3</f>
        <v>#N/A</v>
      </c>
    </row>
    <row r="58" spans="3:26" x14ac:dyDescent="0.3">
      <c r="C58" s="106" t="s">
        <v>7</v>
      </c>
      <c r="D58" s="107" t="e">
        <f>SUM(D50:D57)</f>
        <v>#N/A</v>
      </c>
      <c r="E58" s="107" t="e">
        <f t="shared" ref="E58:L58" si="5">SUM(E50:E57)</f>
        <v>#N/A</v>
      </c>
      <c r="F58" s="107" t="e">
        <f t="shared" si="5"/>
        <v>#N/A</v>
      </c>
      <c r="G58" s="107" t="e">
        <f t="shared" si="5"/>
        <v>#N/A</v>
      </c>
      <c r="H58" s="107" t="e">
        <f t="shared" si="5"/>
        <v>#N/A</v>
      </c>
      <c r="I58" s="107" t="e">
        <f t="shared" si="5"/>
        <v>#N/A</v>
      </c>
      <c r="J58" s="107" t="e">
        <f t="shared" si="5"/>
        <v>#N/A</v>
      </c>
      <c r="K58" s="107" t="e">
        <f t="shared" si="5"/>
        <v>#N/A</v>
      </c>
      <c r="L58" s="107" t="e">
        <f t="shared" si="5"/>
        <v>#N/A</v>
      </c>
      <c r="M58" s="107" t="e">
        <f t="shared" ref="M58:V58" si="6">SUM(M50:M57)</f>
        <v>#N/A</v>
      </c>
      <c r="N58" s="107" t="e">
        <f t="shared" si="6"/>
        <v>#N/A</v>
      </c>
      <c r="O58" s="107" t="e">
        <f t="shared" si="6"/>
        <v>#N/A</v>
      </c>
      <c r="P58" s="107" t="e">
        <f t="shared" si="6"/>
        <v>#N/A</v>
      </c>
      <c r="Q58" s="107" t="e">
        <f t="shared" si="6"/>
        <v>#N/A</v>
      </c>
      <c r="R58" s="107" t="e">
        <f t="shared" si="6"/>
        <v>#N/A</v>
      </c>
      <c r="S58" s="107" t="e">
        <f t="shared" si="6"/>
        <v>#N/A</v>
      </c>
      <c r="T58" s="107" t="e">
        <f t="shared" si="6"/>
        <v>#N/A</v>
      </c>
      <c r="U58" s="107" t="e">
        <f t="shared" si="6"/>
        <v>#N/A</v>
      </c>
      <c r="V58" s="107" t="e">
        <f t="shared" si="6"/>
        <v>#N/A</v>
      </c>
    </row>
    <row r="59" spans="3:26" x14ac:dyDescent="0.3">
      <c r="C59" s="106"/>
      <c r="R59" s="9"/>
      <c r="S59" s="9"/>
      <c r="T59" s="9"/>
      <c r="U59" s="9"/>
    </row>
    <row r="60" spans="3:26" x14ac:dyDescent="0.3">
      <c r="C60" s="103" t="str">
        <f>IF(Language=English, Y60, Z60)</f>
        <v>Pregnancies averted by modern use</v>
      </c>
      <c r="D60" s="104"/>
      <c r="E60" s="104"/>
      <c r="F60" s="104"/>
      <c r="G60" s="104"/>
      <c r="H60" s="104"/>
      <c r="I60" s="104"/>
      <c r="J60" s="104"/>
      <c r="K60" s="104"/>
      <c r="L60" s="104"/>
      <c r="M60" s="104"/>
      <c r="N60" s="104"/>
      <c r="O60" s="104"/>
      <c r="P60" s="104"/>
      <c r="Q60" s="104"/>
      <c r="R60" s="104"/>
      <c r="S60" s="104"/>
      <c r="T60" s="104"/>
      <c r="U60" s="104"/>
      <c r="V60" s="104"/>
      <c r="Y60" s="10" t="s">
        <v>480</v>
      </c>
      <c r="Z60" s="108" t="s">
        <v>481</v>
      </c>
    </row>
    <row r="61" spans="3:26" x14ac:dyDescent="0.3">
      <c r="C61" s="105" t="str">
        <f>$C$28</f>
        <v>Female sterilization</v>
      </c>
      <c r="D61" s="107" t="e">
        <f>D50-D39</f>
        <v>#N/A</v>
      </c>
      <c r="E61" s="107" t="e">
        <f t="shared" ref="E61:L61" si="7">E50-E39</f>
        <v>#N/A</v>
      </c>
      <c r="F61" s="107" t="e">
        <f t="shared" si="7"/>
        <v>#N/A</v>
      </c>
      <c r="G61" s="107" t="e">
        <f t="shared" si="7"/>
        <v>#N/A</v>
      </c>
      <c r="H61" s="107" t="e">
        <f t="shared" si="7"/>
        <v>#N/A</v>
      </c>
      <c r="I61" s="107" t="e">
        <f t="shared" si="7"/>
        <v>#N/A</v>
      </c>
      <c r="J61" s="107" t="e">
        <f t="shared" si="7"/>
        <v>#N/A</v>
      </c>
      <c r="K61" s="107" t="e">
        <f t="shared" si="7"/>
        <v>#N/A</v>
      </c>
      <c r="L61" s="107" t="e">
        <f t="shared" si="7"/>
        <v>#N/A</v>
      </c>
      <c r="M61" s="107" t="e">
        <f t="shared" ref="M61:V61" si="8">M50-M39</f>
        <v>#N/A</v>
      </c>
      <c r="N61" s="107" t="e">
        <f t="shared" si="8"/>
        <v>#N/A</v>
      </c>
      <c r="O61" s="107" t="e">
        <f t="shared" si="8"/>
        <v>#N/A</v>
      </c>
      <c r="P61" s="107" t="e">
        <f t="shared" si="8"/>
        <v>#N/A</v>
      </c>
      <c r="Q61" s="107" t="e">
        <f t="shared" si="8"/>
        <v>#N/A</v>
      </c>
      <c r="R61" s="107" t="e">
        <f t="shared" si="8"/>
        <v>#N/A</v>
      </c>
      <c r="S61" s="107" t="e">
        <f t="shared" si="8"/>
        <v>#N/A</v>
      </c>
      <c r="T61" s="107" t="e">
        <f t="shared" si="8"/>
        <v>#N/A</v>
      </c>
      <c r="U61" s="107" t="e">
        <f t="shared" si="8"/>
        <v>#N/A</v>
      </c>
      <c r="V61" s="107" t="e">
        <f t="shared" si="8"/>
        <v>#N/A</v>
      </c>
    </row>
    <row r="62" spans="3:26" x14ac:dyDescent="0.3">
      <c r="C62" s="105" t="str">
        <f>$C$29</f>
        <v>Male sterilization</v>
      </c>
      <c r="D62" s="107" t="e">
        <f t="shared" ref="D62:L68" si="9">D51-D40</f>
        <v>#N/A</v>
      </c>
      <c r="E62" s="107" t="e">
        <f t="shared" si="9"/>
        <v>#N/A</v>
      </c>
      <c r="F62" s="107" t="e">
        <f t="shared" si="9"/>
        <v>#N/A</v>
      </c>
      <c r="G62" s="107" t="e">
        <f t="shared" si="9"/>
        <v>#N/A</v>
      </c>
      <c r="H62" s="107" t="e">
        <f t="shared" si="9"/>
        <v>#N/A</v>
      </c>
      <c r="I62" s="107" t="e">
        <f t="shared" si="9"/>
        <v>#N/A</v>
      </c>
      <c r="J62" s="107" t="e">
        <f t="shared" si="9"/>
        <v>#N/A</v>
      </c>
      <c r="K62" s="107" t="e">
        <f t="shared" si="9"/>
        <v>#N/A</v>
      </c>
      <c r="L62" s="107" t="e">
        <f t="shared" si="9"/>
        <v>#N/A</v>
      </c>
      <c r="M62" s="107" t="e">
        <f t="shared" ref="M62:V62" si="10">M51-M40</f>
        <v>#N/A</v>
      </c>
      <c r="N62" s="107" t="e">
        <f t="shared" si="10"/>
        <v>#N/A</v>
      </c>
      <c r="O62" s="107" t="e">
        <f t="shared" si="10"/>
        <v>#N/A</v>
      </c>
      <c r="P62" s="107" t="e">
        <f t="shared" si="10"/>
        <v>#N/A</v>
      </c>
      <c r="Q62" s="107" t="e">
        <f t="shared" si="10"/>
        <v>#N/A</v>
      </c>
      <c r="R62" s="107" t="e">
        <f t="shared" si="10"/>
        <v>#N/A</v>
      </c>
      <c r="S62" s="107" t="e">
        <f t="shared" si="10"/>
        <v>#N/A</v>
      </c>
      <c r="T62" s="107" t="e">
        <f t="shared" si="10"/>
        <v>#N/A</v>
      </c>
      <c r="U62" s="107" t="e">
        <f t="shared" si="10"/>
        <v>#N/A</v>
      </c>
      <c r="V62" s="107" t="e">
        <f t="shared" si="10"/>
        <v>#N/A</v>
      </c>
    </row>
    <row r="63" spans="3:26" x14ac:dyDescent="0.3">
      <c r="C63" s="105" t="str">
        <f>$C$30</f>
        <v>IUD</v>
      </c>
      <c r="D63" s="107" t="e">
        <f t="shared" si="9"/>
        <v>#N/A</v>
      </c>
      <c r="E63" s="107" t="e">
        <f t="shared" si="9"/>
        <v>#N/A</v>
      </c>
      <c r="F63" s="107" t="e">
        <f t="shared" si="9"/>
        <v>#N/A</v>
      </c>
      <c r="G63" s="107" t="e">
        <f t="shared" si="9"/>
        <v>#N/A</v>
      </c>
      <c r="H63" s="107" t="e">
        <f t="shared" si="9"/>
        <v>#N/A</v>
      </c>
      <c r="I63" s="107" t="e">
        <f t="shared" si="9"/>
        <v>#N/A</v>
      </c>
      <c r="J63" s="107" t="e">
        <f t="shared" si="9"/>
        <v>#N/A</v>
      </c>
      <c r="K63" s="107" t="e">
        <f t="shared" si="9"/>
        <v>#N/A</v>
      </c>
      <c r="L63" s="107" t="e">
        <f t="shared" si="9"/>
        <v>#N/A</v>
      </c>
      <c r="M63" s="107" t="e">
        <f t="shared" ref="M63:V63" si="11">M52-M41</f>
        <v>#N/A</v>
      </c>
      <c r="N63" s="107" t="e">
        <f t="shared" si="11"/>
        <v>#N/A</v>
      </c>
      <c r="O63" s="107" t="e">
        <f t="shared" si="11"/>
        <v>#N/A</v>
      </c>
      <c r="P63" s="107" t="e">
        <f t="shared" si="11"/>
        <v>#N/A</v>
      </c>
      <c r="Q63" s="107" t="e">
        <f t="shared" si="11"/>
        <v>#N/A</v>
      </c>
      <c r="R63" s="107" t="e">
        <f t="shared" si="11"/>
        <v>#N/A</v>
      </c>
      <c r="S63" s="107" t="e">
        <f t="shared" si="11"/>
        <v>#N/A</v>
      </c>
      <c r="T63" s="107" t="e">
        <f t="shared" si="11"/>
        <v>#N/A</v>
      </c>
      <c r="U63" s="107" t="e">
        <f t="shared" si="11"/>
        <v>#N/A</v>
      </c>
      <c r="V63" s="107" t="e">
        <f t="shared" si="11"/>
        <v>#N/A</v>
      </c>
    </row>
    <row r="64" spans="3:26" x14ac:dyDescent="0.3">
      <c r="C64" s="105" t="str">
        <f>$C$31</f>
        <v>Implants</v>
      </c>
      <c r="D64" s="107" t="e">
        <f t="shared" si="9"/>
        <v>#N/A</v>
      </c>
      <c r="E64" s="107" t="e">
        <f t="shared" si="9"/>
        <v>#N/A</v>
      </c>
      <c r="F64" s="107" t="e">
        <f t="shared" si="9"/>
        <v>#N/A</v>
      </c>
      <c r="G64" s="107" t="e">
        <f t="shared" si="9"/>
        <v>#N/A</v>
      </c>
      <c r="H64" s="107" t="e">
        <f t="shared" si="9"/>
        <v>#N/A</v>
      </c>
      <c r="I64" s="107" t="e">
        <f t="shared" si="9"/>
        <v>#N/A</v>
      </c>
      <c r="J64" s="107" t="e">
        <f t="shared" si="9"/>
        <v>#N/A</v>
      </c>
      <c r="K64" s="107" t="e">
        <f t="shared" si="9"/>
        <v>#N/A</v>
      </c>
      <c r="L64" s="107" t="e">
        <f t="shared" si="9"/>
        <v>#N/A</v>
      </c>
      <c r="M64" s="107" t="e">
        <f t="shared" ref="M64:V64" si="12">M53-M42</f>
        <v>#N/A</v>
      </c>
      <c r="N64" s="107" t="e">
        <f t="shared" si="12"/>
        <v>#N/A</v>
      </c>
      <c r="O64" s="107" t="e">
        <f t="shared" si="12"/>
        <v>#N/A</v>
      </c>
      <c r="P64" s="107" t="e">
        <f t="shared" si="12"/>
        <v>#N/A</v>
      </c>
      <c r="Q64" s="107" t="e">
        <f t="shared" si="12"/>
        <v>#N/A</v>
      </c>
      <c r="R64" s="107" t="e">
        <f t="shared" si="12"/>
        <v>#N/A</v>
      </c>
      <c r="S64" s="107" t="e">
        <f t="shared" si="12"/>
        <v>#N/A</v>
      </c>
      <c r="T64" s="107" t="e">
        <f t="shared" si="12"/>
        <v>#N/A</v>
      </c>
      <c r="U64" s="107" t="e">
        <f t="shared" si="12"/>
        <v>#N/A</v>
      </c>
      <c r="V64" s="107" t="e">
        <f t="shared" si="12"/>
        <v>#N/A</v>
      </c>
    </row>
    <row r="65" spans="3:26" x14ac:dyDescent="0.3">
      <c r="C65" s="105" t="str">
        <f>$C$32</f>
        <v>Injections</v>
      </c>
      <c r="D65" s="107" t="e">
        <f t="shared" si="9"/>
        <v>#N/A</v>
      </c>
      <c r="E65" s="107" t="e">
        <f t="shared" si="9"/>
        <v>#N/A</v>
      </c>
      <c r="F65" s="107" t="e">
        <f t="shared" si="9"/>
        <v>#N/A</v>
      </c>
      <c r="G65" s="107" t="e">
        <f t="shared" si="9"/>
        <v>#N/A</v>
      </c>
      <c r="H65" s="107" t="e">
        <f t="shared" si="9"/>
        <v>#N/A</v>
      </c>
      <c r="I65" s="107" t="e">
        <f t="shared" si="9"/>
        <v>#N/A</v>
      </c>
      <c r="J65" s="107" t="e">
        <f t="shared" si="9"/>
        <v>#N/A</v>
      </c>
      <c r="K65" s="107" t="e">
        <f t="shared" si="9"/>
        <v>#N/A</v>
      </c>
      <c r="L65" s="107" t="e">
        <f t="shared" si="9"/>
        <v>#N/A</v>
      </c>
      <c r="M65" s="107" t="e">
        <f t="shared" ref="M65:V65" si="13">M54-M43</f>
        <v>#N/A</v>
      </c>
      <c r="N65" s="107" t="e">
        <f t="shared" si="13"/>
        <v>#N/A</v>
      </c>
      <c r="O65" s="107" t="e">
        <f t="shared" si="13"/>
        <v>#N/A</v>
      </c>
      <c r="P65" s="107" t="e">
        <f t="shared" si="13"/>
        <v>#N/A</v>
      </c>
      <c r="Q65" s="107" t="e">
        <f t="shared" si="13"/>
        <v>#N/A</v>
      </c>
      <c r="R65" s="107" t="e">
        <f t="shared" si="13"/>
        <v>#N/A</v>
      </c>
      <c r="S65" s="107" t="e">
        <f t="shared" si="13"/>
        <v>#N/A</v>
      </c>
      <c r="T65" s="107" t="e">
        <f t="shared" si="13"/>
        <v>#N/A</v>
      </c>
      <c r="U65" s="107" t="e">
        <f t="shared" si="13"/>
        <v>#N/A</v>
      </c>
      <c r="V65" s="107" t="e">
        <f t="shared" si="13"/>
        <v>#N/A</v>
      </c>
    </row>
    <row r="66" spans="3:26" x14ac:dyDescent="0.3">
      <c r="C66" s="105" t="str">
        <f>$C$33</f>
        <v>Pill</v>
      </c>
      <c r="D66" s="107" t="e">
        <f t="shared" si="9"/>
        <v>#N/A</v>
      </c>
      <c r="E66" s="107" t="e">
        <f t="shared" si="9"/>
        <v>#N/A</v>
      </c>
      <c r="F66" s="107" t="e">
        <f t="shared" si="9"/>
        <v>#N/A</v>
      </c>
      <c r="G66" s="107" t="e">
        <f t="shared" si="9"/>
        <v>#N/A</v>
      </c>
      <c r="H66" s="107" t="e">
        <f t="shared" si="9"/>
        <v>#N/A</v>
      </c>
      <c r="I66" s="107" t="e">
        <f t="shared" si="9"/>
        <v>#N/A</v>
      </c>
      <c r="J66" s="107" t="e">
        <f t="shared" si="9"/>
        <v>#N/A</v>
      </c>
      <c r="K66" s="107" t="e">
        <f t="shared" si="9"/>
        <v>#N/A</v>
      </c>
      <c r="L66" s="107" t="e">
        <f t="shared" si="9"/>
        <v>#N/A</v>
      </c>
      <c r="M66" s="107" t="e">
        <f t="shared" ref="M66:V66" si="14">M55-M44</f>
        <v>#N/A</v>
      </c>
      <c r="N66" s="107" t="e">
        <f t="shared" si="14"/>
        <v>#N/A</v>
      </c>
      <c r="O66" s="107" t="e">
        <f t="shared" si="14"/>
        <v>#N/A</v>
      </c>
      <c r="P66" s="107" t="e">
        <f t="shared" si="14"/>
        <v>#N/A</v>
      </c>
      <c r="Q66" s="107" t="e">
        <f t="shared" si="14"/>
        <v>#N/A</v>
      </c>
      <c r="R66" s="107" t="e">
        <f t="shared" si="14"/>
        <v>#N/A</v>
      </c>
      <c r="S66" s="107" t="e">
        <f t="shared" si="14"/>
        <v>#N/A</v>
      </c>
      <c r="T66" s="107" t="e">
        <f t="shared" si="14"/>
        <v>#N/A</v>
      </c>
      <c r="U66" s="107" t="e">
        <f t="shared" si="14"/>
        <v>#N/A</v>
      </c>
      <c r="V66" s="107" t="e">
        <f t="shared" si="14"/>
        <v>#N/A</v>
      </c>
    </row>
    <row r="67" spans="3:26" x14ac:dyDescent="0.3">
      <c r="C67" s="105" t="str">
        <f>$C$34</f>
        <v>Male Condom</v>
      </c>
      <c r="D67" s="107" t="e">
        <f t="shared" si="9"/>
        <v>#N/A</v>
      </c>
      <c r="E67" s="107" t="e">
        <f t="shared" si="9"/>
        <v>#N/A</v>
      </c>
      <c r="F67" s="107" t="e">
        <f t="shared" si="9"/>
        <v>#N/A</v>
      </c>
      <c r="G67" s="107" t="e">
        <f t="shared" si="9"/>
        <v>#N/A</v>
      </c>
      <c r="H67" s="107" t="e">
        <f t="shared" si="9"/>
        <v>#N/A</v>
      </c>
      <c r="I67" s="107" t="e">
        <f t="shared" si="9"/>
        <v>#N/A</v>
      </c>
      <c r="J67" s="107" t="e">
        <f t="shared" si="9"/>
        <v>#N/A</v>
      </c>
      <c r="K67" s="107" t="e">
        <f t="shared" si="9"/>
        <v>#N/A</v>
      </c>
      <c r="L67" s="107" t="e">
        <f t="shared" si="9"/>
        <v>#N/A</v>
      </c>
      <c r="M67" s="107" t="e">
        <f t="shared" ref="M67:V67" si="15">M56-M45</f>
        <v>#N/A</v>
      </c>
      <c r="N67" s="107" t="e">
        <f t="shared" si="15"/>
        <v>#N/A</v>
      </c>
      <c r="O67" s="107" t="e">
        <f t="shared" si="15"/>
        <v>#N/A</v>
      </c>
      <c r="P67" s="107" t="e">
        <f t="shared" si="15"/>
        <v>#N/A</v>
      </c>
      <c r="Q67" s="107" t="e">
        <f t="shared" si="15"/>
        <v>#N/A</v>
      </c>
      <c r="R67" s="107" t="e">
        <f t="shared" si="15"/>
        <v>#N/A</v>
      </c>
      <c r="S67" s="107" t="e">
        <f t="shared" si="15"/>
        <v>#N/A</v>
      </c>
      <c r="T67" s="107" t="e">
        <f t="shared" si="15"/>
        <v>#N/A</v>
      </c>
      <c r="U67" s="107" t="e">
        <f t="shared" si="15"/>
        <v>#N/A</v>
      </c>
      <c r="V67" s="107" t="e">
        <f t="shared" si="15"/>
        <v>#N/A</v>
      </c>
    </row>
    <row r="68" spans="3:26" x14ac:dyDescent="0.3">
      <c r="C68" s="105" t="str">
        <f>$C$35</f>
        <v>LAM &amp; Other Modern Methods</v>
      </c>
      <c r="D68" s="107" t="e">
        <f t="shared" si="9"/>
        <v>#N/A</v>
      </c>
      <c r="E68" s="107" t="e">
        <f t="shared" si="9"/>
        <v>#N/A</v>
      </c>
      <c r="F68" s="107" t="e">
        <f t="shared" si="9"/>
        <v>#N/A</v>
      </c>
      <c r="G68" s="107" t="e">
        <f t="shared" si="9"/>
        <v>#N/A</v>
      </c>
      <c r="H68" s="107" t="e">
        <f t="shared" si="9"/>
        <v>#N/A</v>
      </c>
      <c r="I68" s="107" t="e">
        <f t="shared" si="9"/>
        <v>#N/A</v>
      </c>
      <c r="J68" s="107" t="e">
        <f t="shared" si="9"/>
        <v>#N/A</v>
      </c>
      <c r="K68" s="107" t="e">
        <f t="shared" si="9"/>
        <v>#N/A</v>
      </c>
      <c r="L68" s="107" t="e">
        <f t="shared" si="9"/>
        <v>#N/A</v>
      </c>
      <c r="M68" s="107" t="e">
        <f t="shared" ref="M68:V68" si="16">M57-M46</f>
        <v>#N/A</v>
      </c>
      <c r="N68" s="107" t="e">
        <f t="shared" si="16"/>
        <v>#N/A</v>
      </c>
      <c r="O68" s="107" t="e">
        <f t="shared" si="16"/>
        <v>#N/A</v>
      </c>
      <c r="P68" s="107" t="e">
        <f t="shared" si="16"/>
        <v>#N/A</v>
      </c>
      <c r="Q68" s="107" t="e">
        <f t="shared" si="16"/>
        <v>#N/A</v>
      </c>
      <c r="R68" s="107" t="e">
        <f t="shared" si="16"/>
        <v>#N/A</v>
      </c>
      <c r="S68" s="107" t="e">
        <f t="shared" si="16"/>
        <v>#N/A</v>
      </c>
      <c r="T68" s="107" t="e">
        <f t="shared" si="16"/>
        <v>#N/A</v>
      </c>
      <c r="U68" s="107" t="e">
        <f t="shared" si="16"/>
        <v>#N/A</v>
      </c>
      <c r="V68" s="107" t="e">
        <f t="shared" si="16"/>
        <v>#N/A</v>
      </c>
    </row>
    <row r="69" spans="3:26" s="829" customFormat="1" ht="22.2" customHeight="1" x14ac:dyDescent="0.3">
      <c r="C69" s="827" t="s">
        <v>7</v>
      </c>
      <c r="D69" s="830" t="e">
        <f>SUM(D61:D68)</f>
        <v>#N/A</v>
      </c>
      <c r="E69" s="830" t="e">
        <f t="shared" ref="E69:L69" si="17">SUM(E61:E68)</f>
        <v>#N/A</v>
      </c>
      <c r="F69" s="830" t="e">
        <f t="shared" si="17"/>
        <v>#N/A</v>
      </c>
      <c r="G69" s="830" t="e">
        <f t="shared" si="17"/>
        <v>#N/A</v>
      </c>
      <c r="H69" s="830" t="e">
        <f t="shared" si="17"/>
        <v>#N/A</v>
      </c>
      <c r="I69" s="830" t="e">
        <f t="shared" si="17"/>
        <v>#N/A</v>
      </c>
      <c r="J69" s="830" t="e">
        <f t="shared" si="17"/>
        <v>#N/A</v>
      </c>
      <c r="K69" s="830" t="e">
        <f t="shared" si="17"/>
        <v>#N/A</v>
      </c>
      <c r="L69" s="830" t="e">
        <f t="shared" si="17"/>
        <v>#N/A</v>
      </c>
      <c r="M69" s="830" t="e">
        <f t="shared" ref="M69:V69" si="18">SUM(M61:M68)</f>
        <v>#N/A</v>
      </c>
      <c r="N69" s="830" t="e">
        <f t="shared" si="18"/>
        <v>#N/A</v>
      </c>
      <c r="O69" s="830" t="e">
        <f t="shared" si="18"/>
        <v>#N/A</v>
      </c>
      <c r="P69" s="830" t="e">
        <f t="shared" si="18"/>
        <v>#N/A</v>
      </c>
      <c r="Q69" s="830" t="e">
        <f t="shared" si="18"/>
        <v>#N/A</v>
      </c>
      <c r="R69" s="830" t="e">
        <f t="shared" si="18"/>
        <v>#N/A</v>
      </c>
      <c r="S69" s="830" t="e">
        <f t="shared" si="18"/>
        <v>#N/A</v>
      </c>
      <c r="T69" s="830" t="e">
        <f t="shared" si="18"/>
        <v>#N/A</v>
      </c>
      <c r="U69" s="830" t="e">
        <f t="shared" si="18"/>
        <v>#N/A</v>
      </c>
      <c r="V69" s="830" t="e">
        <f t="shared" si="18"/>
        <v>#N/A</v>
      </c>
    </row>
    <row r="70" spans="3:26" x14ac:dyDescent="0.3">
      <c r="C70" s="106"/>
      <c r="R70" s="9"/>
      <c r="S70" s="9"/>
      <c r="T70" s="9"/>
      <c r="U70" s="9"/>
    </row>
    <row r="71" spans="3:26" x14ac:dyDescent="0.3">
      <c r="C71" s="103" t="str">
        <f>IF(Language=English, Y71, Z71)</f>
        <v>Abortions averted by modern use</v>
      </c>
      <c r="D71" s="104"/>
      <c r="E71" s="104"/>
      <c r="F71" s="104"/>
      <c r="G71" s="104"/>
      <c r="H71" s="104"/>
      <c r="I71" s="104"/>
      <c r="J71" s="104"/>
      <c r="K71" s="104"/>
      <c r="L71" s="104"/>
      <c r="M71" s="104"/>
      <c r="N71" s="104"/>
      <c r="O71" s="104"/>
      <c r="P71" s="104"/>
      <c r="Q71" s="104"/>
      <c r="R71" s="104"/>
      <c r="S71" s="104"/>
      <c r="T71" s="104"/>
      <c r="U71" s="104"/>
      <c r="V71" s="104"/>
      <c r="Y71" s="10" t="s">
        <v>482</v>
      </c>
      <c r="Z71" s="108" t="s">
        <v>483</v>
      </c>
    </row>
    <row r="72" spans="3:26" x14ac:dyDescent="0.3">
      <c r="C72" s="105" t="str">
        <f>$C$28</f>
        <v>Female sterilization</v>
      </c>
      <c r="D72" s="107" t="e">
        <f t="shared" ref="D72:L79" si="19">D61*$D$5</f>
        <v>#N/A</v>
      </c>
      <c r="E72" s="107" t="e">
        <f t="shared" si="19"/>
        <v>#N/A</v>
      </c>
      <c r="F72" s="107" t="e">
        <f t="shared" si="19"/>
        <v>#N/A</v>
      </c>
      <c r="G72" s="107" t="e">
        <f t="shared" si="19"/>
        <v>#N/A</v>
      </c>
      <c r="H72" s="107" t="e">
        <f t="shared" si="19"/>
        <v>#N/A</v>
      </c>
      <c r="I72" s="107" t="e">
        <f t="shared" si="19"/>
        <v>#N/A</v>
      </c>
      <c r="J72" s="107" t="e">
        <f t="shared" si="19"/>
        <v>#N/A</v>
      </c>
      <c r="K72" s="107" t="e">
        <f t="shared" si="19"/>
        <v>#N/A</v>
      </c>
      <c r="L72" s="107" t="e">
        <f t="shared" si="19"/>
        <v>#N/A</v>
      </c>
      <c r="M72" s="107" t="e">
        <f t="shared" ref="M72:V72" si="20">M61*$D$5</f>
        <v>#N/A</v>
      </c>
      <c r="N72" s="107" t="e">
        <f t="shared" si="20"/>
        <v>#N/A</v>
      </c>
      <c r="O72" s="107" t="e">
        <f t="shared" si="20"/>
        <v>#N/A</v>
      </c>
      <c r="P72" s="107" t="e">
        <f t="shared" si="20"/>
        <v>#N/A</v>
      </c>
      <c r="Q72" s="107" t="e">
        <f t="shared" si="20"/>
        <v>#N/A</v>
      </c>
      <c r="R72" s="107" t="e">
        <f t="shared" si="20"/>
        <v>#N/A</v>
      </c>
      <c r="S72" s="107" t="e">
        <f t="shared" si="20"/>
        <v>#N/A</v>
      </c>
      <c r="T72" s="107" t="e">
        <f t="shared" si="20"/>
        <v>#N/A</v>
      </c>
      <c r="U72" s="107" t="e">
        <f t="shared" si="20"/>
        <v>#N/A</v>
      </c>
      <c r="V72" s="107" t="e">
        <f t="shared" si="20"/>
        <v>#N/A</v>
      </c>
    </row>
    <row r="73" spans="3:26" x14ac:dyDescent="0.3">
      <c r="C73" s="105" t="str">
        <f>$C$29</f>
        <v>Male sterilization</v>
      </c>
      <c r="D73" s="107" t="e">
        <f t="shared" si="19"/>
        <v>#N/A</v>
      </c>
      <c r="E73" s="107" t="e">
        <f t="shared" si="19"/>
        <v>#N/A</v>
      </c>
      <c r="F73" s="107" t="e">
        <f t="shared" si="19"/>
        <v>#N/A</v>
      </c>
      <c r="G73" s="107" t="e">
        <f t="shared" si="19"/>
        <v>#N/A</v>
      </c>
      <c r="H73" s="107" t="e">
        <f t="shared" si="19"/>
        <v>#N/A</v>
      </c>
      <c r="I73" s="107" t="e">
        <f t="shared" si="19"/>
        <v>#N/A</v>
      </c>
      <c r="J73" s="107" t="e">
        <f t="shared" si="19"/>
        <v>#N/A</v>
      </c>
      <c r="K73" s="107" t="e">
        <f t="shared" si="19"/>
        <v>#N/A</v>
      </c>
      <c r="L73" s="107" t="e">
        <f t="shared" si="19"/>
        <v>#N/A</v>
      </c>
      <c r="M73" s="107" t="e">
        <f t="shared" ref="M73:V73" si="21">M62*$D$5</f>
        <v>#N/A</v>
      </c>
      <c r="N73" s="107" t="e">
        <f t="shared" si="21"/>
        <v>#N/A</v>
      </c>
      <c r="O73" s="107" t="e">
        <f t="shared" si="21"/>
        <v>#N/A</v>
      </c>
      <c r="P73" s="107" t="e">
        <f t="shared" si="21"/>
        <v>#N/A</v>
      </c>
      <c r="Q73" s="107" t="e">
        <f t="shared" si="21"/>
        <v>#N/A</v>
      </c>
      <c r="R73" s="107" t="e">
        <f t="shared" si="21"/>
        <v>#N/A</v>
      </c>
      <c r="S73" s="107" t="e">
        <f t="shared" si="21"/>
        <v>#N/A</v>
      </c>
      <c r="T73" s="107" t="e">
        <f t="shared" si="21"/>
        <v>#N/A</v>
      </c>
      <c r="U73" s="107" t="e">
        <f t="shared" si="21"/>
        <v>#N/A</v>
      </c>
      <c r="V73" s="107" t="e">
        <f t="shared" si="21"/>
        <v>#N/A</v>
      </c>
    </row>
    <row r="74" spans="3:26" x14ac:dyDescent="0.3">
      <c r="C74" s="105" t="str">
        <f>$C$30</f>
        <v>IUD</v>
      </c>
      <c r="D74" s="107" t="e">
        <f t="shared" si="19"/>
        <v>#N/A</v>
      </c>
      <c r="E74" s="107" t="e">
        <f t="shared" si="19"/>
        <v>#N/A</v>
      </c>
      <c r="F74" s="107" t="e">
        <f t="shared" si="19"/>
        <v>#N/A</v>
      </c>
      <c r="G74" s="107" t="e">
        <f t="shared" si="19"/>
        <v>#N/A</v>
      </c>
      <c r="H74" s="107" t="e">
        <f t="shared" si="19"/>
        <v>#N/A</v>
      </c>
      <c r="I74" s="107" t="e">
        <f t="shared" si="19"/>
        <v>#N/A</v>
      </c>
      <c r="J74" s="107" t="e">
        <f t="shared" si="19"/>
        <v>#N/A</v>
      </c>
      <c r="K74" s="107" t="e">
        <f t="shared" si="19"/>
        <v>#N/A</v>
      </c>
      <c r="L74" s="107" t="e">
        <f t="shared" si="19"/>
        <v>#N/A</v>
      </c>
      <c r="M74" s="107" t="e">
        <f t="shared" ref="M74:V74" si="22">M63*$D$5</f>
        <v>#N/A</v>
      </c>
      <c r="N74" s="107" t="e">
        <f t="shared" si="22"/>
        <v>#N/A</v>
      </c>
      <c r="O74" s="107" t="e">
        <f t="shared" si="22"/>
        <v>#N/A</v>
      </c>
      <c r="P74" s="107" t="e">
        <f t="shared" si="22"/>
        <v>#N/A</v>
      </c>
      <c r="Q74" s="107" t="e">
        <f t="shared" si="22"/>
        <v>#N/A</v>
      </c>
      <c r="R74" s="107" t="e">
        <f t="shared" si="22"/>
        <v>#N/A</v>
      </c>
      <c r="S74" s="107" t="e">
        <f t="shared" si="22"/>
        <v>#N/A</v>
      </c>
      <c r="T74" s="107" t="e">
        <f t="shared" si="22"/>
        <v>#N/A</v>
      </c>
      <c r="U74" s="107" t="e">
        <f t="shared" si="22"/>
        <v>#N/A</v>
      </c>
      <c r="V74" s="107" t="e">
        <f t="shared" si="22"/>
        <v>#N/A</v>
      </c>
    </row>
    <row r="75" spans="3:26" x14ac:dyDescent="0.3">
      <c r="C75" s="105" t="str">
        <f>$C$31</f>
        <v>Implants</v>
      </c>
      <c r="D75" s="107" t="e">
        <f t="shared" si="19"/>
        <v>#N/A</v>
      </c>
      <c r="E75" s="107" t="e">
        <f t="shared" si="19"/>
        <v>#N/A</v>
      </c>
      <c r="F75" s="107" t="e">
        <f t="shared" si="19"/>
        <v>#N/A</v>
      </c>
      <c r="G75" s="107" t="e">
        <f t="shared" si="19"/>
        <v>#N/A</v>
      </c>
      <c r="H75" s="107" t="e">
        <f t="shared" si="19"/>
        <v>#N/A</v>
      </c>
      <c r="I75" s="107" t="e">
        <f t="shared" si="19"/>
        <v>#N/A</v>
      </c>
      <c r="J75" s="107" t="e">
        <f t="shared" si="19"/>
        <v>#N/A</v>
      </c>
      <c r="K75" s="107" t="e">
        <f t="shared" si="19"/>
        <v>#N/A</v>
      </c>
      <c r="L75" s="107" t="e">
        <f t="shared" si="19"/>
        <v>#N/A</v>
      </c>
      <c r="M75" s="107" t="e">
        <f t="shared" ref="M75:V75" si="23">M64*$D$5</f>
        <v>#N/A</v>
      </c>
      <c r="N75" s="107" t="e">
        <f t="shared" si="23"/>
        <v>#N/A</v>
      </c>
      <c r="O75" s="107" t="e">
        <f t="shared" si="23"/>
        <v>#N/A</v>
      </c>
      <c r="P75" s="107" t="e">
        <f t="shared" si="23"/>
        <v>#N/A</v>
      </c>
      <c r="Q75" s="107" t="e">
        <f t="shared" si="23"/>
        <v>#N/A</v>
      </c>
      <c r="R75" s="107" t="e">
        <f t="shared" si="23"/>
        <v>#N/A</v>
      </c>
      <c r="S75" s="107" t="e">
        <f t="shared" si="23"/>
        <v>#N/A</v>
      </c>
      <c r="T75" s="107" t="e">
        <f t="shared" si="23"/>
        <v>#N/A</v>
      </c>
      <c r="U75" s="107" t="e">
        <f t="shared" si="23"/>
        <v>#N/A</v>
      </c>
      <c r="V75" s="107" t="e">
        <f t="shared" si="23"/>
        <v>#N/A</v>
      </c>
    </row>
    <row r="76" spans="3:26" x14ac:dyDescent="0.3">
      <c r="C76" s="105" t="str">
        <f>$C$32</f>
        <v>Injections</v>
      </c>
      <c r="D76" s="107" t="e">
        <f t="shared" si="19"/>
        <v>#N/A</v>
      </c>
      <c r="E76" s="107" t="e">
        <f t="shared" si="19"/>
        <v>#N/A</v>
      </c>
      <c r="F76" s="107" t="e">
        <f t="shared" si="19"/>
        <v>#N/A</v>
      </c>
      <c r="G76" s="107" t="e">
        <f t="shared" si="19"/>
        <v>#N/A</v>
      </c>
      <c r="H76" s="107" t="e">
        <f t="shared" si="19"/>
        <v>#N/A</v>
      </c>
      <c r="I76" s="107" t="e">
        <f t="shared" si="19"/>
        <v>#N/A</v>
      </c>
      <c r="J76" s="107" t="e">
        <f t="shared" si="19"/>
        <v>#N/A</v>
      </c>
      <c r="K76" s="107" t="e">
        <f t="shared" si="19"/>
        <v>#N/A</v>
      </c>
      <c r="L76" s="107" t="e">
        <f t="shared" si="19"/>
        <v>#N/A</v>
      </c>
      <c r="M76" s="107" t="e">
        <f t="shared" ref="M76:V76" si="24">M65*$D$5</f>
        <v>#N/A</v>
      </c>
      <c r="N76" s="107" t="e">
        <f t="shared" si="24"/>
        <v>#N/A</v>
      </c>
      <c r="O76" s="107" t="e">
        <f t="shared" si="24"/>
        <v>#N/A</v>
      </c>
      <c r="P76" s="107" t="e">
        <f t="shared" si="24"/>
        <v>#N/A</v>
      </c>
      <c r="Q76" s="107" t="e">
        <f t="shared" si="24"/>
        <v>#N/A</v>
      </c>
      <c r="R76" s="107" t="e">
        <f t="shared" si="24"/>
        <v>#N/A</v>
      </c>
      <c r="S76" s="107" t="e">
        <f t="shared" si="24"/>
        <v>#N/A</v>
      </c>
      <c r="T76" s="107" t="e">
        <f t="shared" si="24"/>
        <v>#N/A</v>
      </c>
      <c r="U76" s="107" t="e">
        <f t="shared" si="24"/>
        <v>#N/A</v>
      </c>
      <c r="V76" s="107" t="e">
        <f t="shared" si="24"/>
        <v>#N/A</v>
      </c>
    </row>
    <row r="77" spans="3:26" x14ac:dyDescent="0.3">
      <c r="C77" s="105" t="str">
        <f>$C$33</f>
        <v>Pill</v>
      </c>
      <c r="D77" s="107" t="e">
        <f t="shared" si="19"/>
        <v>#N/A</v>
      </c>
      <c r="E77" s="107" t="e">
        <f t="shared" si="19"/>
        <v>#N/A</v>
      </c>
      <c r="F77" s="107" t="e">
        <f t="shared" si="19"/>
        <v>#N/A</v>
      </c>
      <c r="G77" s="107" t="e">
        <f t="shared" si="19"/>
        <v>#N/A</v>
      </c>
      <c r="H77" s="107" t="e">
        <f t="shared" si="19"/>
        <v>#N/A</v>
      </c>
      <c r="I77" s="107" t="e">
        <f t="shared" si="19"/>
        <v>#N/A</v>
      </c>
      <c r="J77" s="107" t="e">
        <f t="shared" si="19"/>
        <v>#N/A</v>
      </c>
      <c r="K77" s="107" t="e">
        <f t="shared" si="19"/>
        <v>#N/A</v>
      </c>
      <c r="L77" s="107" t="e">
        <f t="shared" si="19"/>
        <v>#N/A</v>
      </c>
      <c r="M77" s="107" t="e">
        <f t="shared" ref="M77:V77" si="25">M66*$D$5</f>
        <v>#N/A</v>
      </c>
      <c r="N77" s="107" t="e">
        <f t="shared" si="25"/>
        <v>#N/A</v>
      </c>
      <c r="O77" s="107" t="e">
        <f t="shared" si="25"/>
        <v>#N/A</v>
      </c>
      <c r="P77" s="107" t="e">
        <f t="shared" si="25"/>
        <v>#N/A</v>
      </c>
      <c r="Q77" s="107" t="e">
        <f t="shared" si="25"/>
        <v>#N/A</v>
      </c>
      <c r="R77" s="107" t="e">
        <f t="shared" si="25"/>
        <v>#N/A</v>
      </c>
      <c r="S77" s="107" t="e">
        <f t="shared" si="25"/>
        <v>#N/A</v>
      </c>
      <c r="T77" s="107" t="e">
        <f t="shared" si="25"/>
        <v>#N/A</v>
      </c>
      <c r="U77" s="107" t="e">
        <f t="shared" si="25"/>
        <v>#N/A</v>
      </c>
      <c r="V77" s="107" t="e">
        <f t="shared" si="25"/>
        <v>#N/A</v>
      </c>
    </row>
    <row r="78" spans="3:26" x14ac:dyDescent="0.3">
      <c r="C78" s="105" t="str">
        <f>$C$34</f>
        <v>Male Condom</v>
      </c>
      <c r="D78" s="107" t="e">
        <f t="shared" si="19"/>
        <v>#N/A</v>
      </c>
      <c r="E78" s="107" t="e">
        <f t="shared" si="19"/>
        <v>#N/A</v>
      </c>
      <c r="F78" s="107" t="e">
        <f t="shared" si="19"/>
        <v>#N/A</v>
      </c>
      <c r="G78" s="107" t="e">
        <f t="shared" si="19"/>
        <v>#N/A</v>
      </c>
      <c r="H78" s="107" t="e">
        <f t="shared" si="19"/>
        <v>#N/A</v>
      </c>
      <c r="I78" s="107" t="e">
        <f t="shared" si="19"/>
        <v>#N/A</v>
      </c>
      <c r="J78" s="107" t="e">
        <f t="shared" si="19"/>
        <v>#N/A</v>
      </c>
      <c r="K78" s="107" t="e">
        <f t="shared" si="19"/>
        <v>#N/A</v>
      </c>
      <c r="L78" s="107" t="e">
        <f t="shared" si="19"/>
        <v>#N/A</v>
      </c>
      <c r="M78" s="107" t="e">
        <f t="shared" ref="M78:V78" si="26">M67*$D$5</f>
        <v>#N/A</v>
      </c>
      <c r="N78" s="107" t="e">
        <f t="shared" si="26"/>
        <v>#N/A</v>
      </c>
      <c r="O78" s="107" t="e">
        <f t="shared" si="26"/>
        <v>#N/A</v>
      </c>
      <c r="P78" s="107" t="e">
        <f t="shared" si="26"/>
        <v>#N/A</v>
      </c>
      <c r="Q78" s="107" t="e">
        <f t="shared" si="26"/>
        <v>#N/A</v>
      </c>
      <c r="R78" s="107" t="e">
        <f t="shared" si="26"/>
        <v>#N/A</v>
      </c>
      <c r="S78" s="107" t="e">
        <f t="shared" si="26"/>
        <v>#N/A</v>
      </c>
      <c r="T78" s="107" t="e">
        <f t="shared" si="26"/>
        <v>#N/A</v>
      </c>
      <c r="U78" s="107" t="e">
        <f t="shared" si="26"/>
        <v>#N/A</v>
      </c>
      <c r="V78" s="107" t="e">
        <f t="shared" si="26"/>
        <v>#N/A</v>
      </c>
    </row>
    <row r="79" spans="3:26" x14ac:dyDescent="0.3">
      <c r="C79" s="105" t="str">
        <f>$C$35</f>
        <v>LAM &amp; Other Modern Methods</v>
      </c>
      <c r="D79" s="107" t="e">
        <f t="shared" si="19"/>
        <v>#N/A</v>
      </c>
      <c r="E79" s="107" t="e">
        <f t="shared" si="19"/>
        <v>#N/A</v>
      </c>
      <c r="F79" s="107" t="e">
        <f t="shared" si="19"/>
        <v>#N/A</v>
      </c>
      <c r="G79" s="107" t="e">
        <f t="shared" si="19"/>
        <v>#N/A</v>
      </c>
      <c r="H79" s="107" t="e">
        <f t="shared" si="19"/>
        <v>#N/A</v>
      </c>
      <c r="I79" s="107" t="e">
        <f t="shared" si="19"/>
        <v>#N/A</v>
      </c>
      <c r="J79" s="107" t="e">
        <f t="shared" si="19"/>
        <v>#N/A</v>
      </c>
      <c r="K79" s="107" t="e">
        <f t="shared" si="19"/>
        <v>#N/A</v>
      </c>
      <c r="L79" s="107" t="e">
        <f t="shared" si="19"/>
        <v>#N/A</v>
      </c>
      <c r="M79" s="107" t="e">
        <f t="shared" ref="M79:V79" si="27">M68*$D$5</f>
        <v>#N/A</v>
      </c>
      <c r="N79" s="107" t="e">
        <f t="shared" si="27"/>
        <v>#N/A</v>
      </c>
      <c r="O79" s="107" t="e">
        <f t="shared" si="27"/>
        <v>#N/A</v>
      </c>
      <c r="P79" s="107" t="e">
        <f t="shared" si="27"/>
        <v>#N/A</v>
      </c>
      <c r="Q79" s="107" t="e">
        <f t="shared" si="27"/>
        <v>#N/A</v>
      </c>
      <c r="R79" s="107" t="e">
        <f t="shared" si="27"/>
        <v>#N/A</v>
      </c>
      <c r="S79" s="107" t="e">
        <f t="shared" si="27"/>
        <v>#N/A</v>
      </c>
      <c r="T79" s="107" t="e">
        <f t="shared" si="27"/>
        <v>#N/A</v>
      </c>
      <c r="U79" s="107" t="e">
        <f t="shared" si="27"/>
        <v>#N/A</v>
      </c>
      <c r="V79" s="107" t="e">
        <f t="shared" si="27"/>
        <v>#N/A</v>
      </c>
    </row>
    <row r="80" spans="3:26" x14ac:dyDescent="0.3">
      <c r="C80" s="109" t="s">
        <v>7</v>
      </c>
      <c r="D80" s="110" t="e">
        <f>SUM(D72:D79)</f>
        <v>#N/A</v>
      </c>
      <c r="E80" s="110" t="e">
        <f t="shared" ref="E80:J80" si="28">SUM(E72:E79)</f>
        <v>#N/A</v>
      </c>
      <c r="F80" s="110" t="e">
        <f t="shared" si="28"/>
        <v>#N/A</v>
      </c>
      <c r="G80" s="110" t="e">
        <f t="shared" si="28"/>
        <v>#N/A</v>
      </c>
      <c r="H80" s="110" t="e">
        <f t="shared" si="28"/>
        <v>#N/A</v>
      </c>
      <c r="I80" s="110" t="e">
        <f t="shared" si="28"/>
        <v>#N/A</v>
      </c>
      <c r="J80" s="110" t="e">
        <f t="shared" si="28"/>
        <v>#N/A</v>
      </c>
      <c r="K80" s="110" t="e">
        <f t="shared" ref="K80:V80" si="29">SUM(K72:K79)</f>
        <v>#N/A</v>
      </c>
      <c r="L80" s="110" t="e">
        <f t="shared" si="29"/>
        <v>#N/A</v>
      </c>
      <c r="M80" s="110" t="e">
        <f t="shared" si="29"/>
        <v>#N/A</v>
      </c>
      <c r="N80" s="110" t="e">
        <f t="shared" si="29"/>
        <v>#N/A</v>
      </c>
      <c r="O80" s="110" t="e">
        <f t="shared" si="29"/>
        <v>#N/A</v>
      </c>
      <c r="P80" s="110" t="e">
        <f t="shared" si="29"/>
        <v>#N/A</v>
      </c>
      <c r="Q80" s="110" t="e">
        <f t="shared" si="29"/>
        <v>#N/A</v>
      </c>
      <c r="R80" s="110" t="e">
        <f t="shared" si="29"/>
        <v>#N/A</v>
      </c>
      <c r="S80" s="110" t="e">
        <f t="shared" si="29"/>
        <v>#N/A</v>
      </c>
      <c r="T80" s="110" t="e">
        <f t="shared" si="29"/>
        <v>#N/A</v>
      </c>
      <c r="U80" s="110" t="e">
        <f t="shared" si="29"/>
        <v>#N/A</v>
      </c>
      <c r="V80" s="110" t="e">
        <f t="shared" si="29"/>
        <v>#N/A</v>
      </c>
    </row>
    <row r="81" spans="3:26" x14ac:dyDescent="0.3">
      <c r="C81" s="106"/>
      <c r="R81" s="9"/>
      <c r="S81" s="9"/>
      <c r="T81" s="9"/>
      <c r="U81" s="9"/>
    </row>
    <row r="82" spans="3:26" x14ac:dyDescent="0.3">
      <c r="C82" s="103" t="str">
        <f>IF(Language=English, Y82, Z82)</f>
        <v>Unsafe abortions averted by modern use</v>
      </c>
      <c r="D82" s="104"/>
      <c r="E82" s="104"/>
      <c r="F82" s="104"/>
      <c r="G82" s="104"/>
      <c r="H82" s="104"/>
      <c r="I82" s="104"/>
      <c r="J82" s="104"/>
      <c r="K82" s="104"/>
      <c r="L82" s="104"/>
      <c r="M82" s="104"/>
      <c r="N82" s="104"/>
      <c r="O82" s="104"/>
      <c r="P82" s="104"/>
      <c r="Q82" s="104"/>
      <c r="R82" s="104"/>
      <c r="S82" s="104"/>
      <c r="T82" s="104"/>
      <c r="U82" s="104"/>
      <c r="V82" s="104"/>
      <c r="Y82" s="10" t="s">
        <v>484</v>
      </c>
      <c r="Z82" s="108" t="s">
        <v>485</v>
      </c>
    </row>
    <row r="83" spans="3:26" x14ac:dyDescent="0.3">
      <c r="C83" s="105" t="str">
        <f>$C$28</f>
        <v>Female sterilization</v>
      </c>
      <c r="D83" s="107" t="e">
        <f t="shared" ref="D83:L90" si="30">D72*$D$6</f>
        <v>#N/A</v>
      </c>
      <c r="E83" s="107" t="e">
        <f t="shared" si="30"/>
        <v>#N/A</v>
      </c>
      <c r="F83" s="107" t="e">
        <f t="shared" si="30"/>
        <v>#N/A</v>
      </c>
      <c r="G83" s="107" t="e">
        <f t="shared" si="30"/>
        <v>#N/A</v>
      </c>
      <c r="H83" s="107" t="e">
        <f t="shared" si="30"/>
        <v>#N/A</v>
      </c>
      <c r="I83" s="107" t="e">
        <f t="shared" si="30"/>
        <v>#N/A</v>
      </c>
      <c r="J83" s="107" t="e">
        <f t="shared" si="30"/>
        <v>#N/A</v>
      </c>
      <c r="K83" s="107" t="e">
        <f t="shared" si="30"/>
        <v>#N/A</v>
      </c>
      <c r="L83" s="107" t="e">
        <f t="shared" si="30"/>
        <v>#N/A</v>
      </c>
      <c r="M83" s="107" t="e">
        <f t="shared" ref="M83:V83" si="31">M72*$D$6</f>
        <v>#N/A</v>
      </c>
      <c r="N83" s="107" t="e">
        <f t="shared" si="31"/>
        <v>#N/A</v>
      </c>
      <c r="O83" s="107" t="e">
        <f t="shared" si="31"/>
        <v>#N/A</v>
      </c>
      <c r="P83" s="107" t="e">
        <f t="shared" si="31"/>
        <v>#N/A</v>
      </c>
      <c r="Q83" s="107" t="e">
        <f t="shared" si="31"/>
        <v>#N/A</v>
      </c>
      <c r="R83" s="107" t="e">
        <f t="shared" si="31"/>
        <v>#N/A</v>
      </c>
      <c r="S83" s="107" t="e">
        <f t="shared" si="31"/>
        <v>#N/A</v>
      </c>
      <c r="T83" s="107" t="e">
        <f t="shared" si="31"/>
        <v>#N/A</v>
      </c>
      <c r="U83" s="107" t="e">
        <f t="shared" si="31"/>
        <v>#N/A</v>
      </c>
      <c r="V83" s="107" t="e">
        <f t="shared" si="31"/>
        <v>#N/A</v>
      </c>
    </row>
    <row r="84" spans="3:26" x14ac:dyDescent="0.3">
      <c r="C84" s="105" t="str">
        <f>$C$29</f>
        <v>Male sterilization</v>
      </c>
      <c r="D84" s="107" t="e">
        <f t="shared" si="30"/>
        <v>#N/A</v>
      </c>
      <c r="E84" s="107" t="e">
        <f t="shared" si="30"/>
        <v>#N/A</v>
      </c>
      <c r="F84" s="107" t="e">
        <f t="shared" si="30"/>
        <v>#N/A</v>
      </c>
      <c r="G84" s="107" t="e">
        <f t="shared" si="30"/>
        <v>#N/A</v>
      </c>
      <c r="H84" s="107" t="e">
        <f t="shared" si="30"/>
        <v>#N/A</v>
      </c>
      <c r="I84" s="107" t="e">
        <f t="shared" si="30"/>
        <v>#N/A</v>
      </c>
      <c r="J84" s="107" t="e">
        <f t="shared" si="30"/>
        <v>#N/A</v>
      </c>
      <c r="K84" s="107" t="e">
        <f t="shared" si="30"/>
        <v>#N/A</v>
      </c>
      <c r="L84" s="107" t="e">
        <f t="shared" si="30"/>
        <v>#N/A</v>
      </c>
      <c r="M84" s="107" t="e">
        <f t="shared" ref="M84:V84" si="32">M73*$D$6</f>
        <v>#N/A</v>
      </c>
      <c r="N84" s="107" t="e">
        <f t="shared" si="32"/>
        <v>#N/A</v>
      </c>
      <c r="O84" s="107" t="e">
        <f t="shared" si="32"/>
        <v>#N/A</v>
      </c>
      <c r="P84" s="107" t="e">
        <f t="shared" si="32"/>
        <v>#N/A</v>
      </c>
      <c r="Q84" s="107" t="e">
        <f t="shared" si="32"/>
        <v>#N/A</v>
      </c>
      <c r="R84" s="107" t="e">
        <f t="shared" si="32"/>
        <v>#N/A</v>
      </c>
      <c r="S84" s="107" t="e">
        <f t="shared" si="32"/>
        <v>#N/A</v>
      </c>
      <c r="T84" s="107" t="e">
        <f t="shared" si="32"/>
        <v>#N/A</v>
      </c>
      <c r="U84" s="107" t="e">
        <f t="shared" si="32"/>
        <v>#N/A</v>
      </c>
      <c r="V84" s="107" t="e">
        <f t="shared" si="32"/>
        <v>#N/A</v>
      </c>
    </row>
    <row r="85" spans="3:26" x14ac:dyDescent="0.3">
      <c r="C85" s="105" t="str">
        <f>$C$30</f>
        <v>IUD</v>
      </c>
      <c r="D85" s="107" t="e">
        <f t="shared" si="30"/>
        <v>#N/A</v>
      </c>
      <c r="E85" s="107" t="e">
        <f t="shared" si="30"/>
        <v>#N/A</v>
      </c>
      <c r="F85" s="107" t="e">
        <f t="shared" si="30"/>
        <v>#N/A</v>
      </c>
      <c r="G85" s="107" t="e">
        <f t="shared" si="30"/>
        <v>#N/A</v>
      </c>
      <c r="H85" s="107" t="e">
        <f t="shared" si="30"/>
        <v>#N/A</v>
      </c>
      <c r="I85" s="107" t="e">
        <f t="shared" si="30"/>
        <v>#N/A</v>
      </c>
      <c r="J85" s="107" t="e">
        <f t="shared" si="30"/>
        <v>#N/A</v>
      </c>
      <c r="K85" s="107" t="e">
        <f t="shared" si="30"/>
        <v>#N/A</v>
      </c>
      <c r="L85" s="107" t="e">
        <f t="shared" si="30"/>
        <v>#N/A</v>
      </c>
      <c r="M85" s="107" t="e">
        <f t="shared" ref="M85:V85" si="33">M74*$D$6</f>
        <v>#N/A</v>
      </c>
      <c r="N85" s="107" t="e">
        <f t="shared" si="33"/>
        <v>#N/A</v>
      </c>
      <c r="O85" s="107" t="e">
        <f t="shared" si="33"/>
        <v>#N/A</v>
      </c>
      <c r="P85" s="107" t="e">
        <f t="shared" si="33"/>
        <v>#N/A</v>
      </c>
      <c r="Q85" s="107" t="e">
        <f t="shared" si="33"/>
        <v>#N/A</v>
      </c>
      <c r="R85" s="107" t="e">
        <f t="shared" si="33"/>
        <v>#N/A</v>
      </c>
      <c r="S85" s="107" t="e">
        <f t="shared" si="33"/>
        <v>#N/A</v>
      </c>
      <c r="T85" s="107" t="e">
        <f t="shared" si="33"/>
        <v>#N/A</v>
      </c>
      <c r="U85" s="107" t="e">
        <f t="shared" si="33"/>
        <v>#N/A</v>
      </c>
      <c r="V85" s="107" t="e">
        <f t="shared" si="33"/>
        <v>#N/A</v>
      </c>
    </row>
    <row r="86" spans="3:26" x14ac:dyDescent="0.3">
      <c r="C86" s="105" t="str">
        <f>$C$31</f>
        <v>Implants</v>
      </c>
      <c r="D86" s="107" t="e">
        <f t="shared" si="30"/>
        <v>#N/A</v>
      </c>
      <c r="E86" s="107" t="e">
        <f t="shared" si="30"/>
        <v>#N/A</v>
      </c>
      <c r="F86" s="107" t="e">
        <f t="shared" si="30"/>
        <v>#N/A</v>
      </c>
      <c r="G86" s="107" t="e">
        <f t="shared" si="30"/>
        <v>#N/A</v>
      </c>
      <c r="H86" s="107" t="e">
        <f t="shared" si="30"/>
        <v>#N/A</v>
      </c>
      <c r="I86" s="107" t="e">
        <f t="shared" si="30"/>
        <v>#N/A</v>
      </c>
      <c r="J86" s="107" t="e">
        <f t="shared" si="30"/>
        <v>#N/A</v>
      </c>
      <c r="K86" s="107" t="e">
        <f t="shared" si="30"/>
        <v>#N/A</v>
      </c>
      <c r="L86" s="107" t="e">
        <f t="shared" si="30"/>
        <v>#N/A</v>
      </c>
      <c r="M86" s="107" t="e">
        <f t="shared" ref="M86:V86" si="34">M75*$D$6</f>
        <v>#N/A</v>
      </c>
      <c r="N86" s="107" t="e">
        <f t="shared" si="34"/>
        <v>#N/A</v>
      </c>
      <c r="O86" s="107" t="e">
        <f t="shared" si="34"/>
        <v>#N/A</v>
      </c>
      <c r="P86" s="107" t="e">
        <f t="shared" si="34"/>
        <v>#N/A</v>
      </c>
      <c r="Q86" s="107" t="e">
        <f t="shared" si="34"/>
        <v>#N/A</v>
      </c>
      <c r="R86" s="107" t="e">
        <f t="shared" si="34"/>
        <v>#N/A</v>
      </c>
      <c r="S86" s="107" t="e">
        <f t="shared" si="34"/>
        <v>#N/A</v>
      </c>
      <c r="T86" s="107" t="e">
        <f t="shared" si="34"/>
        <v>#N/A</v>
      </c>
      <c r="U86" s="107" t="e">
        <f t="shared" si="34"/>
        <v>#N/A</v>
      </c>
      <c r="V86" s="107" t="e">
        <f t="shared" si="34"/>
        <v>#N/A</v>
      </c>
    </row>
    <row r="87" spans="3:26" x14ac:dyDescent="0.3">
      <c r="C87" s="105" t="str">
        <f>$C$32</f>
        <v>Injections</v>
      </c>
      <c r="D87" s="107" t="e">
        <f t="shared" si="30"/>
        <v>#N/A</v>
      </c>
      <c r="E87" s="107" t="e">
        <f t="shared" si="30"/>
        <v>#N/A</v>
      </c>
      <c r="F87" s="107" t="e">
        <f t="shared" si="30"/>
        <v>#N/A</v>
      </c>
      <c r="G87" s="107" t="e">
        <f t="shared" si="30"/>
        <v>#N/A</v>
      </c>
      <c r="H87" s="107" t="e">
        <f t="shared" si="30"/>
        <v>#N/A</v>
      </c>
      <c r="I87" s="107" t="e">
        <f t="shared" si="30"/>
        <v>#N/A</v>
      </c>
      <c r="J87" s="107" t="e">
        <f t="shared" si="30"/>
        <v>#N/A</v>
      </c>
      <c r="K87" s="107" t="e">
        <f t="shared" si="30"/>
        <v>#N/A</v>
      </c>
      <c r="L87" s="107" t="e">
        <f t="shared" si="30"/>
        <v>#N/A</v>
      </c>
      <c r="M87" s="107" t="e">
        <f t="shared" ref="M87:V87" si="35">M76*$D$6</f>
        <v>#N/A</v>
      </c>
      <c r="N87" s="107" t="e">
        <f t="shared" si="35"/>
        <v>#N/A</v>
      </c>
      <c r="O87" s="107" t="e">
        <f t="shared" si="35"/>
        <v>#N/A</v>
      </c>
      <c r="P87" s="107" t="e">
        <f t="shared" si="35"/>
        <v>#N/A</v>
      </c>
      <c r="Q87" s="107" t="e">
        <f t="shared" si="35"/>
        <v>#N/A</v>
      </c>
      <c r="R87" s="107" t="e">
        <f t="shared" si="35"/>
        <v>#N/A</v>
      </c>
      <c r="S87" s="107" t="e">
        <f t="shared" si="35"/>
        <v>#N/A</v>
      </c>
      <c r="T87" s="107" t="e">
        <f t="shared" si="35"/>
        <v>#N/A</v>
      </c>
      <c r="U87" s="107" t="e">
        <f t="shared" si="35"/>
        <v>#N/A</v>
      </c>
      <c r="V87" s="107" t="e">
        <f t="shared" si="35"/>
        <v>#N/A</v>
      </c>
    </row>
    <row r="88" spans="3:26" x14ac:dyDescent="0.3">
      <c r="C88" s="105" t="str">
        <f>$C$33</f>
        <v>Pill</v>
      </c>
      <c r="D88" s="107" t="e">
        <f t="shared" si="30"/>
        <v>#N/A</v>
      </c>
      <c r="E88" s="107" t="e">
        <f t="shared" si="30"/>
        <v>#N/A</v>
      </c>
      <c r="F88" s="107" t="e">
        <f t="shared" si="30"/>
        <v>#N/A</v>
      </c>
      <c r="G88" s="107" t="e">
        <f t="shared" si="30"/>
        <v>#N/A</v>
      </c>
      <c r="H88" s="107" t="e">
        <f t="shared" si="30"/>
        <v>#N/A</v>
      </c>
      <c r="I88" s="107" t="e">
        <f t="shared" si="30"/>
        <v>#N/A</v>
      </c>
      <c r="J88" s="107" t="e">
        <f t="shared" si="30"/>
        <v>#N/A</v>
      </c>
      <c r="K88" s="107" t="e">
        <f t="shared" si="30"/>
        <v>#N/A</v>
      </c>
      <c r="L88" s="107" t="e">
        <f t="shared" si="30"/>
        <v>#N/A</v>
      </c>
      <c r="M88" s="107" t="e">
        <f t="shared" ref="M88:V88" si="36">M77*$D$6</f>
        <v>#N/A</v>
      </c>
      <c r="N88" s="107" t="e">
        <f t="shared" si="36"/>
        <v>#N/A</v>
      </c>
      <c r="O88" s="107" t="e">
        <f t="shared" si="36"/>
        <v>#N/A</v>
      </c>
      <c r="P88" s="107" t="e">
        <f t="shared" si="36"/>
        <v>#N/A</v>
      </c>
      <c r="Q88" s="107" t="e">
        <f t="shared" si="36"/>
        <v>#N/A</v>
      </c>
      <c r="R88" s="107" t="e">
        <f t="shared" si="36"/>
        <v>#N/A</v>
      </c>
      <c r="S88" s="107" t="e">
        <f t="shared" si="36"/>
        <v>#N/A</v>
      </c>
      <c r="T88" s="107" t="e">
        <f t="shared" si="36"/>
        <v>#N/A</v>
      </c>
      <c r="U88" s="107" t="e">
        <f t="shared" si="36"/>
        <v>#N/A</v>
      </c>
      <c r="V88" s="107" t="e">
        <f t="shared" si="36"/>
        <v>#N/A</v>
      </c>
    </row>
    <row r="89" spans="3:26" x14ac:dyDescent="0.3">
      <c r="C89" s="105" t="str">
        <f>$C$34</f>
        <v>Male Condom</v>
      </c>
      <c r="D89" s="107" t="e">
        <f t="shared" si="30"/>
        <v>#N/A</v>
      </c>
      <c r="E89" s="107" t="e">
        <f t="shared" si="30"/>
        <v>#N/A</v>
      </c>
      <c r="F89" s="107" t="e">
        <f t="shared" si="30"/>
        <v>#N/A</v>
      </c>
      <c r="G89" s="107" t="e">
        <f t="shared" si="30"/>
        <v>#N/A</v>
      </c>
      <c r="H89" s="107" t="e">
        <f t="shared" si="30"/>
        <v>#N/A</v>
      </c>
      <c r="I89" s="107" t="e">
        <f t="shared" si="30"/>
        <v>#N/A</v>
      </c>
      <c r="J89" s="107" t="e">
        <f t="shared" si="30"/>
        <v>#N/A</v>
      </c>
      <c r="K89" s="107" t="e">
        <f t="shared" si="30"/>
        <v>#N/A</v>
      </c>
      <c r="L89" s="107" t="e">
        <f t="shared" si="30"/>
        <v>#N/A</v>
      </c>
      <c r="M89" s="107" t="e">
        <f t="shared" ref="M89:V89" si="37">M78*$D$6</f>
        <v>#N/A</v>
      </c>
      <c r="N89" s="107" t="e">
        <f t="shared" si="37"/>
        <v>#N/A</v>
      </c>
      <c r="O89" s="107" t="e">
        <f t="shared" si="37"/>
        <v>#N/A</v>
      </c>
      <c r="P89" s="107" t="e">
        <f t="shared" si="37"/>
        <v>#N/A</v>
      </c>
      <c r="Q89" s="107" t="e">
        <f t="shared" si="37"/>
        <v>#N/A</v>
      </c>
      <c r="R89" s="107" t="e">
        <f t="shared" si="37"/>
        <v>#N/A</v>
      </c>
      <c r="S89" s="107" t="e">
        <f t="shared" si="37"/>
        <v>#N/A</v>
      </c>
      <c r="T89" s="107" t="e">
        <f t="shared" si="37"/>
        <v>#N/A</v>
      </c>
      <c r="U89" s="107" t="e">
        <f t="shared" si="37"/>
        <v>#N/A</v>
      </c>
      <c r="V89" s="107" t="e">
        <f t="shared" si="37"/>
        <v>#N/A</v>
      </c>
    </row>
    <row r="90" spans="3:26" x14ac:dyDescent="0.3">
      <c r="C90" s="105" t="str">
        <f>$C$35</f>
        <v>LAM &amp; Other Modern Methods</v>
      </c>
      <c r="D90" s="107" t="e">
        <f t="shared" si="30"/>
        <v>#N/A</v>
      </c>
      <c r="E90" s="107" t="e">
        <f t="shared" si="30"/>
        <v>#N/A</v>
      </c>
      <c r="F90" s="107" t="e">
        <f t="shared" si="30"/>
        <v>#N/A</v>
      </c>
      <c r="G90" s="107" t="e">
        <f t="shared" si="30"/>
        <v>#N/A</v>
      </c>
      <c r="H90" s="107" t="e">
        <f t="shared" si="30"/>
        <v>#N/A</v>
      </c>
      <c r="I90" s="107" t="e">
        <f t="shared" si="30"/>
        <v>#N/A</v>
      </c>
      <c r="J90" s="107" t="e">
        <f t="shared" si="30"/>
        <v>#N/A</v>
      </c>
      <c r="K90" s="107" t="e">
        <f t="shared" si="30"/>
        <v>#N/A</v>
      </c>
      <c r="L90" s="107" t="e">
        <f t="shared" si="30"/>
        <v>#N/A</v>
      </c>
      <c r="M90" s="107" t="e">
        <f t="shared" ref="M90:V90" si="38">M79*$D$6</f>
        <v>#N/A</v>
      </c>
      <c r="N90" s="107" t="e">
        <f t="shared" si="38"/>
        <v>#N/A</v>
      </c>
      <c r="O90" s="107" t="e">
        <f t="shared" si="38"/>
        <v>#N/A</v>
      </c>
      <c r="P90" s="107" t="e">
        <f t="shared" si="38"/>
        <v>#N/A</v>
      </c>
      <c r="Q90" s="107" t="e">
        <f t="shared" si="38"/>
        <v>#N/A</v>
      </c>
      <c r="R90" s="107" t="e">
        <f t="shared" si="38"/>
        <v>#N/A</v>
      </c>
      <c r="S90" s="107" t="e">
        <f t="shared" si="38"/>
        <v>#N/A</v>
      </c>
      <c r="T90" s="107" t="e">
        <f t="shared" si="38"/>
        <v>#N/A</v>
      </c>
      <c r="U90" s="107" t="e">
        <f t="shared" si="38"/>
        <v>#N/A</v>
      </c>
      <c r="V90" s="107" t="e">
        <f t="shared" si="38"/>
        <v>#N/A</v>
      </c>
    </row>
    <row r="91" spans="3:26" s="831" customFormat="1" ht="22.2" customHeight="1" x14ac:dyDescent="0.3">
      <c r="C91" s="827" t="s">
        <v>7</v>
      </c>
      <c r="D91" s="830" t="e">
        <f>SUM(D83:D90)</f>
        <v>#N/A</v>
      </c>
      <c r="E91" s="830" t="e">
        <f t="shared" ref="E91:J91" si="39">SUM(E83:E90)</f>
        <v>#N/A</v>
      </c>
      <c r="F91" s="830" t="e">
        <f t="shared" si="39"/>
        <v>#N/A</v>
      </c>
      <c r="G91" s="830" t="e">
        <f t="shared" si="39"/>
        <v>#N/A</v>
      </c>
      <c r="H91" s="830" t="e">
        <f t="shared" si="39"/>
        <v>#N/A</v>
      </c>
      <c r="I91" s="830" t="e">
        <f t="shared" si="39"/>
        <v>#N/A</v>
      </c>
      <c r="J91" s="830" t="e">
        <f t="shared" si="39"/>
        <v>#N/A</v>
      </c>
      <c r="K91" s="830" t="e">
        <f t="shared" ref="K91:V91" si="40">SUM(K83:K90)</f>
        <v>#N/A</v>
      </c>
      <c r="L91" s="830" t="e">
        <f t="shared" si="40"/>
        <v>#N/A</v>
      </c>
      <c r="M91" s="830" t="e">
        <f t="shared" si="40"/>
        <v>#N/A</v>
      </c>
      <c r="N91" s="830" t="e">
        <f t="shared" si="40"/>
        <v>#N/A</v>
      </c>
      <c r="O91" s="830" t="e">
        <f t="shared" si="40"/>
        <v>#N/A</v>
      </c>
      <c r="P91" s="830" t="e">
        <f t="shared" si="40"/>
        <v>#N/A</v>
      </c>
      <c r="Q91" s="830" t="e">
        <f t="shared" si="40"/>
        <v>#N/A</v>
      </c>
      <c r="R91" s="830" t="e">
        <f t="shared" si="40"/>
        <v>#N/A</v>
      </c>
      <c r="S91" s="830" t="e">
        <f t="shared" si="40"/>
        <v>#N/A</v>
      </c>
      <c r="T91" s="830" t="e">
        <f t="shared" si="40"/>
        <v>#N/A</v>
      </c>
      <c r="U91" s="830" t="e">
        <f t="shared" si="40"/>
        <v>#N/A</v>
      </c>
      <c r="V91" s="830" t="e">
        <f t="shared" si="40"/>
        <v>#N/A</v>
      </c>
    </row>
    <row r="92" spans="3:26" x14ac:dyDescent="0.3">
      <c r="C92" s="106"/>
      <c r="R92" s="9"/>
      <c r="S92" s="9"/>
      <c r="T92" s="9"/>
      <c r="U92" s="9"/>
    </row>
    <row r="93" spans="3:26" x14ac:dyDescent="0.3">
      <c r="C93" s="103" t="str">
        <f>IF(Language=English, Y93, Z93)</f>
        <v>Miscarriages or stillbirths averted</v>
      </c>
      <c r="D93" s="104"/>
      <c r="E93" s="104"/>
      <c r="F93" s="104"/>
      <c r="G93" s="104"/>
      <c r="H93" s="104"/>
      <c r="I93" s="104"/>
      <c r="J93" s="104"/>
      <c r="K93" s="104"/>
      <c r="L93" s="104"/>
      <c r="M93" s="104"/>
      <c r="N93" s="104"/>
      <c r="O93" s="104"/>
      <c r="P93" s="104"/>
      <c r="Q93" s="104"/>
      <c r="R93" s="104"/>
      <c r="S93" s="104"/>
      <c r="T93" s="104"/>
      <c r="U93" s="104"/>
      <c r="V93" s="104"/>
      <c r="Y93" s="10" t="s">
        <v>486</v>
      </c>
      <c r="Z93" s="108" t="s">
        <v>487</v>
      </c>
    </row>
    <row r="94" spans="3:26" x14ac:dyDescent="0.3">
      <c r="C94" s="105" t="str">
        <f>$C$28</f>
        <v>Female sterilization</v>
      </c>
      <c r="D94" s="111" t="e">
        <f>D61*'Pregnancy and failure rates'!$B$6</f>
        <v>#N/A</v>
      </c>
      <c r="E94" s="111" t="e">
        <f>E61*'Pregnancy and failure rates'!$B$6</f>
        <v>#N/A</v>
      </c>
      <c r="F94" s="111" t="e">
        <f>F61*'Pregnancy and failure rates'!$B$6</f>
        <v>#N/A</v>
      </c>
      <c r="G94" s="111" t="e">
        <f>G61*'Pregnancy and failure rates'!$B$6</f>
        <v>#N/A</v>
      </c>
      <c r="H94" s="111" t="e">
        <f>H61*'Pregnancy and failure rates'!$B$6</f>
        <v>#N/A</v>
      </c>
      <c r="I94" s="111" t="e">
        <f>I61*'Pregnancy and failure rates'!$B$6</f>
        <v>#N/A</v>
      </c>
      <c r="J94" s="111" t="e">
        <f>J61*'Pregnancy and failure rates'!$B$6</f>
        <v>#N/A</v>
      </c>
      <c r="K94" s="111" t="e">
        <f>K61*'Pregnancy and failure rates'!$B$6</f>
        <v>#N/A</v>
      </c>
      <c r="L94" s="111" t="e">
        <f>L61*'Pregnancy and failure rates'!$B$6</f>
        <v>#N/A</v>
      </c>
      <c r="M94" s="111" t="e">
        <f>M61*'Pregnancy and failure rates'!$B$6</f>
        <v>#N/A</v>
      </c>
      <c r="N94" s="111" t="e">
        <f>N61*'Pregnancy and failure rates'!$B$6</f>
        <v>#N/A</v>
      </c>
      <c r="O94" s="111" t="e">
        <f>O61*'Pregnancy and failure rates'!$B$6</f>
        <v>#N/A</v>
      </c>
      <c r="P94" s="111" t="e">
        <f>P61*'Pregnancy and failure rates'!$B$6</f>
        <v>#N/A</v>
      </c>
      <c r="Q94" s="111" t="e">
        <f>Q61*'Pregnancy and failure rates'!$B$6</f>
        <v>#N/A</v>
      </c>
      <c r="R94" s="111" t="e">
        <f>R61*'Pregnancy and failure rates'!$B$6</f>
        <v>#N/A</v>
      </c>
      <c r="S94" s="111" t="e">
        <f>S61*'Pregnancy and failure rates'!$B$6</f>
        <v>#N/A</v>
      </c>
      <c r="T94" s="111" t="e">
        <f>T61*'Pregnancy and failure rates'!$B$6</f>
        <v>#N/A</v>
      </c>
      <c r="U94" s="111" t="e">
        <f>U61*'Pregnancy and failure rates'!$B$6</f>
        <v>#N/A</v>
      </c>
      <c r="V94" s="111" t="e">
        <f>V61*'Pregnancy and failure rates'!$B$6</f>
        <v>#N/A</v>
      </c>
    </row>
    <row r="95" spans="3:26" x14ac:dyDescent="0.3">
      <c r="C95" s="105" t="str">
        <f>$C$29</f>
        <v>Male sterilization</v>
      </c>
      <c r="D95" s="111" t="e">
        <f>D62*'Pregnancy and failure rates'!$B$6</f>
        <v>#N/A</v>
      </c>
      <c r="E95" s="111" t="e">
        <f>E62*'Pregnancy and failure rates'!$B$6</f>
        <v>#N/A</v>
      </c>
      <c r="F95" s="111" t="e">
        <f>F62*'Pregnancy and failure rates'!$B$6</f>
        <v>#N/A</v>
      </c>
      <c r="G95" s="111" t="e">
        <f>G62*'Pregnancy and failure rates'!$B$6</f>
        <v>#N/A</v>
      </c>
      <c r="H95" s="111" t="e">
        <f>H62*'Pregnancy and failure rates'!$B$6</f>
        <v>#N/A</v>
      </c>
      <c r="I95" s="111" t="e">
        <f>I62*'Pregnancy and failure rates'!$B$6</f>
        <v>#N/A</v>
      </c>
      <c r="J95" s="111" t="e">
        <f>J62*'Pregnancy and failure rates'!$B$6</f>
        <v>#N/A</v>
      </c>
      <c r="K95" s="111" t="e">
        <f>K62*'Pregnancy and failure rates'!$B$6</f>
        <v>#N/A</v>
      </c>
      <c r="L95" s="111" t="e">
        <f>L62*'Pregnancy and failure rates'!$B$6</f>
        <v>#N/A</v>
      </c>
      <c r="M95" s="111" t="e">
        <f>M62*'Pregnancy and failure rates'!$B$6</f>
        <v>#N/A</v>
      </c>
      <c r="N95" s="111" t="e">
        <f>N62*'Pregnancy and failure rates'!$B$6</f>
        <v>#N/A</v>
      </c>
      <c r="O95" s="111" t="e">
        <f>O62*'Pregnancy and failure rates'!$B$6</f>
        <v>#N/A</v>
      </c>
      <c r="P95" s="111" t="e">
        <f>P62*'Pregnancy and failure rates'!$B$6</f>
        <v>#N/A</v>
      </c>
      <c r="Q95" s="111" t="e">
        <f>Q62*'Pregnancy and failure rates'!$B$6</f>
        <v>#N/A</v>
      </c>
      <c r="R95" s="111" t="e">
        <f>R62*'Pregnancy and failure rates'!$B$6</f>
        <v>#N/A</v>
      </c>
      <c r="S95" s="111" t="e">
        <f>S62*'Pregnancy and failure rates'!$B$6</f>
        <v>#N/A</v>
      </c>
      <c r="T95" s="111" t="e">
        <f>T62*'Pregnancy and failure rates'!$B$6</f>
        <v>#N/A</v>
      </c>
      <c r="U95" s="111" t="e">
        <f>U62*'Pregnancy and failure rates'!$B$6</f>
        <v>#N/A</v>
      </c>
      <c r="V95" s="111" t="e">
        <f>V62*'Pregnancy and failure rates'!$B$6</f>
        <v>#N/A</v>
      </c>
    </row>
    <row r="96" spans="3:26" x14ac:dyDescent="0.3">
      <c r="C96" s="105" t="str">
        <f>$C$30</f>
        <v>IUD</v>
      </c>
      <c r="D96" s="111" t="e">
        <f>D63*'Pregnancy and failure rates'!$B$6</f>
        <v>#N/A</v>
      </c>
      <c r="E96" s="111" t="e">
        <f>E63*'Pregnancy and failure rates'!$B$6</f>
        <v>#N/A</v>
      </c>
      <c r="F96" s="111" t="e">
        <f>F63*'Pregnancy and failure rates'!$B$6</f>
        <v>#N/A</v>
      </c>
      <c r="G96" s="111" t="e">
        <f>G63*'Pregnancy and failure rates'!$B$6</f>
        <v>#N/A</v>
      </c>
      <c r="H96" s="111" t="e">
        <f>H63*'Pregnancy and failure rates'!$B$6</f>
        <v>#N/A</v>
      </c>
      <c r="I96" s="111" t="e">
        <f>I63*'Pregnancy and failure rates'!$B$6</f>
        <v>#N/A</v>
      </c>
      <c r="J96" s="111" t="e">
        <f>J63*'Pregnancy and failure rates'!$B$6</f>
        <v>#N/A</v>
      </c>
      <c r="K96" s="111" t="e">
        <f>K63*'Pregnancy and failure rates'!$B$6</f>
        <v>#N/A</v>
      </c>
      <c r="L96" s="111" t="e">
        <f>L63*'Pregnancy and failure rates'!$B$6</f>
        <v>#N/A</v>
      </c>
      <c r="M96" s="111" t="e">
        <f>M63*'Pregnancy and failure rates'!$B$6</f>
        <v>#N/A</v>
      </c>
      <c r="N96" s="111" t="e">
        <f>N63*'Pregnancy and failure rates'!$B$6</f>
        <v>#N/A</v>
      </c>
      <c r="O96" s="111" t="e">
        <f>O63*'Pregnancy and failure rates'!$B$6</f>
        <v>#N/A</v>
      </c>
      <c r="P96" s="111" t="e">
        <f>P63*'Pregnancy and failure rates'!$B$6</f>
        <v>#N/A</v>
      </c>
      <c r="Q96" s="111" t="e">
        <f>Q63*'Pregnancy and failure rates'!$B$6</f>
        <v>#N/A</v>
      </c>
      <c r="R96" s="111" t="e">
        <f>R63*'Pregnancy and failure rates'!$B$6</f>
        <v>#N/A</v>
      </c>
      <c r="S96" s="111" t="e">
        <f>S63*'Pregnancy and failure rates'!$B$6</f>
        <v>#N/A</v>
      </c>
      <c r="T96" s="111" t="e">
        <f>T63*'Pregnancy and failure rates'!$B$6</f>
        <v>#N/A</v>
      </c>
      <c r="U96" s="111" t="e">
        <f>U63*'Pregnancy and failure rates'!$B$6</f>
        <v>#N/A</v>
      </c>
      <c r="V96" s="111" t="e">
        <f>V63*'Pregnancy and failure rates'!$B$6</f>
        <v>#N/A</v>
      </c>
    </row>
    <row r="97" spans="3:26" x14ac:dyDescent="0.3">
      <c r="C97" s="105" t="str">
        <f>$C$31</f>
        <v>Implants</v>
      </c>
      <c r="D97" s="111" t="e">
        <f>D64*'Pregnancy and failure rates'!$B$6</f>
        <v>#N/A</v>
      </c>
      <c r="E97" s="111" t="e">
        <f>E64*'Pregnancy and failure rates'!$B$6</f>
        <v>#N/A</v>
      </c>
      <c r="F97" s="111" t="e">
        <f>F64*'Pregnancy and failure rates'!$B$6</f>
        <v>#N/A</v>
      </c>
      <c r="G97" s="111" t="e">
        <f>G64*'Pregnancy and failure rates'!$B$6</f>
        <v>#N/A</v>
      </c>
      <c r="H97" s="111" t="e">
        <f>H64*'Pregnancy and failure rates'!$B$6</f>
        <v>#N/A</v>
      </c>
      <c r="I97" s="111" t="e">
        <f>I64*'Pregnancy and failure rates'!$B$6</f>
        <v>#N/A</v>
      </c>
      <c r="J97" s="111" t="e">
        <f>J64*'Pregnancy and failure rates'!$B$6</f>
        <v>#N/A</v>
      </c>
      <c r="K97" s="111" t="e">
        <f>K64*'Pregnancy and failure rates'!$B$6</f>
        <v>#N/A</v>
      </c>
      <c r="L97" s="111" t="e">
        <f>L64*'Pregnancy and failure rates'!$B$6</f>
        <v>#N/A</v>
      </c>
      <c r="M97" s="111" t="e">
        <f>M64*'Pregnancy and failure rates'!$B$6</f>
        <v>#N/A</v>
      </c>
      <c r="N97" s="111" t="e">
        <f>N64*'Pregnancy and failure rates'!$B$6</f>
        <v>#N/A</v>
      </c>
      <c r="O97" s="111" t="e">
        <f>O64*'Pregnancy and failure rates'!$B$6</f>
        <v>#N/A</v>
      </c>
      <c r="P97" s="111" t="e">
        <f>P64*'Pregnancy and failure rates'!$B$6</f>
        <v>#N/A</v>
      </c>
      <c r="Q97" s="111" t="e">
        <f>Q64*'Pregnancy and failure rates'!$B$6</f>
        <v>#N/A</v>
      </c>
      <c r="R97" s="111" t="e">
        <f>R64*'Pregnancy and failure rates'!$B$6</f>
        <v>#N/A</v>
      </c>
      <c r="S97" s="111" t="e">
        <f>S64*'Pregnancy and failure rates'!$B$6</f>
        <v>#N/A</v>
      </c>
      <c r="T97" s="111" t="e">
        <f>T64*'Pregnancy and failure rates'!$B$6</f>
        <v>#N/A</v>
      </c>
      <c r="U97" s="111" t="e">
        <f>U64*'Pregnancy and failure rates'!$B$6</f>
        <v>#N/A</v>
      </c>
      <c r="V97" s="111" t="e">
        <f>V64*'Pregnancy and failure rates'!$B$6</f>
        <v>#N/A</v>
      </c>
    </row>
    <row r="98" spans="3:26" x14ac:dyDescent="0.3">
      <c r="C98" s="105" t="str">
        <f>$C$32</f>
        <v>Injections</v>
      </c>
      <c r="D98" s="111" t="e">
        <f>D65*'Pregnancy and failure rates'!$B$6</f>
        <v>#N/A</v>
      </c>
      <c r="E98" s="111" t="e">
        <f>E65*'Pregnancy and failure rates'!$B$6</f>
        <v>#N/A</v>
      </c>
      <c r="F98" s="111" t="e">
        <f>F65*'Pregnancy and failure rates'!$B$6</f>
        <v>#N/A</v>
      </c>
      <c r="G98" s="111" t="e">
        <f>G65*'Pregnancy and failure rates'!$B$6</f>
        <v>#N/A</v>
      </c>
      <c r="H98" s="111" t="e">
        <f>H65*'Pregnancy and failure rates'!$B$6</f>
        <v>#N/A</v>
      </c>
      <c r="I98" s="111" t="e">
        <f>I65*'Pregnancy and failure rates'!$B$6</f>
        <v>#N/A</v>
      </c>
      <c r="J98" s="111" t="e">
        <f>J65*'Pregnancy and failure rates'!$B$6</f>
        <v>#N/A</v>
      </c>
      <c r="K98" s="111" t="e">
        <f>K65*'Pregnancy and failure rates'!$B$6</f>
        <v>#N/A</v>
      </c>
      <c r="L98" s="111" t="e">
        <f>L65*'Pregnancy and failure rates'!$B$6</f>
        <v>#N/A</v>
      </c>
      <c r="M98" s="111" t="e">
        <f>M65*'Pregnancy and failure rates'!$B$6</f>
        <v>#N/A</v>
      </c>
      <c r="N98" s="111" t="e">
        <f>N65*'Pregnancy and failure rates'!$B$6</f>
        <v>#N/A</v>
      </c>
      <c r="O98" s="111" t="e">
        <f>O65*'Pregnancy and failure rates'!$B$6</f>
        <v>#N/A</v>
      </c>
      <c r="P98" s="111" t="e">
        <f>P65*'Pregnancy and failure rates'!$B$6</f>
        <v>#N/A</v>
      </c>
      <c r="Q98" s="111" t="e">
        <f>Q65*'Pregnancy and failure rates'!$B$6</f>
        <v>#N/A</v>
      </c>
      <c r="R98" s="111" t="e">
        <f>R65*'Pregnancy and failure rates'!$B$6</f>
        <v>#N/A</v>
      </c>
      <c r="S98" s="111" t="e">
        <f>S65*'Pregnancy and failure rates'!$B$6</f>
        <v>#N/A</v>
      </c>
      <c r="T98" s="111" t="e">
        <f>T65*'Pregnancy and failure rates'!$B$6</f>
        <v>#N/A</v>
      </c>
      <c r="U98" s="111" t="e">
        <f>U65*'Pregnancy and failure rates'!$B$6</f>
        <v>#N/A</v>
      </c>
      <c r="V98" s="111" t="e">
        <f>V65*'Pregnancy and failure rates'!$B$6</f>
        <v>#N/A</v>
      </c>
    </row>
    <row r="99" spans="3:26" x14ac:dyDescent="0.3">
      <c r="C99" s="105" t="str">
        <f>$C$33</f>
        <v>Pill</v>
      </c>
      <c r="D99" s="111" t="e">
        <f>D66*'Pregnancy and failure rates'!$B$6</f>
        <v>#N/A</v>
      </c>
      <c r="E99" s="111" t="e">
        <f>E66*'Pregnancy and failure rates'!$B$6</f>
        <v>#N/A</v>
      </c>
      <c r="F99" s="111" t="e">
        <f>F66*'Pregnancy and failure rates'!$B$6</f>
        <v>#N/A</v>
      </c>
      <c r="G99" s="111" t="e">
        <f>G66*'Pregnancy and failure rates'!$B$6</f>
        <v>#N/A</v>
      </c>
      <c r="H99" s="111" t="e">
        <f>H66*'Pregnancy and failure rates'!$B$6</f>
        <v>#N/A</v>
      </c>
      <c r="I99" s="111" t="e">
        <f>I66*'Pregnancy and failure rates'!$B$6</f>
        <v>#N/A</v>
      </c>
      <c r="J99" s="111" t="e">
        <f>J66*'Pregnancy and failure rates'!$B$6</f>
        <v>#N/A</v>
      </c>
      <c r="K99" s="111" t="e">
        <f>K66*'Pregnancy and failure rates'!$B$6</f>
        <v>#N/A</v>
      </c>
      <c r="L99" s="111" t="e">
        <f>L66*'Pregnancy and failure rates'!$B$6</f>
        <v>#N/A</v>
      </c>
      <c r="M99" s="111" t="e">
        <f>M66*'Pregnancy and failure rates'!$B$6</f>
        <v>#N/A</v>
      </c>
      <c r="N99" s="111" t="e">
        <f>N66*'Pregnancy and failure rates'!$B$6</f>
        <v>#N/A</v>
      </c>
      <c r="O99" s="111" t="e">
        <f>O66*'Pregnancy and failure rates'!$B$6</f>
        <v>#N/A</v>
      </c>
      <c r="P99" s="111" t="e">
        <f>P66*'Pregnancy and failure rates'!$B$6</f>
        <v>#N/A</v>
      </c>
      <c r="Q99" s="111" t="e">
        <f>Q66*'Pregnancy and failure rates'!$B$6</f>
        <v>#N/A</v>
      </c>
      <c r="R99" s="111" t="e">
        <f>R66*'Pregnancy and failure rates'!$B$6</f>
        <v>#N/A</v>
      </c>
      <c r="S99" s="111" t="e">
        <f>S66*'Pregnancy and failure rates'!$B$6</f>
        <v>#N/A</v>
      </c>
      <c r="T99" s="111" t="e">
        <f>T66*'Pregnancy and failure rates'!$B$6</f>
        <v>#N/A</v>
      </c>
      <c r="U99" s="111" t="e">
        <f>U66*'Pregnancy and failure rates'!$B$6</f>
        <v>#N/A</v>
      </c>
      <c r="V99" s="111" t="e">
        <f>V66*'Pregnancy and failure rates'!$B$6</f>
        <v>#N/A</v>
      </c>
    </row>
    <row r="100" spans="3:26" x14ac:dyDescent="0.3">
      <c r="C100" s="105" t="str">
        <f>$C$34</f>
        <v>Male Condom</v>
      </c>
      <c r="D100" s="111" t="e">
        <f>D67*'Pregnancy and failure rates'!$B$6</f>
        <v>#N/A</v>
      </c>
      <c r="E100" s="111" t="e">
        <f>E67*'Pregnancy and failure rates'!$B$6</f>
        <v>#N/A</v>
      </c>
      <c r="F100" s="111" t="e">
        <f>F67*'Pregnancy and failure rates'!$B$6</f>
        <v>#N/A</v>
      </c>
      <c r="G100" s="111" t="e">
        <f>G67*'Pregnancy and failure rates'!$B$6</f>
        <v>#N/A</v>
      </c>
      <c r="H100" s="111" t="e">
        <f>H67*'Pregnancy and failure rates'!$B$6</f>
        <v>#N/A</v>
      </c>
      <c r="I100" s="111" t="e">
        <f>I67*'Pregnancy and failure rates'!$B$6</f>
        <v>#N/A</v>
      </c>
      <c r="J100" s="111" t="e">
        <f>J67*'Pregnancy and failure rates'!$B$6</f>
        <v>#N/A</v>
      </c>
      <c r="K100" s="111" t="e">
        <f>K67*'Pregnancy and failure rates'!$B$6</f>
        <v>#N/A</v>
      </c>
      <c r="L100" s="111" t="e">
        <f>L67*'Pregnancy and failure rates'!$B$6</f>
        <v>#N/A</v>
      </c>
      <c r="M100" s="111" t="e">
        <f>M67*'Pregnancy and failure rates'!$B$6</f>
        <v>#N/A</v>
      </c>
      <c r="N100" s="111" t="e">
        <f>N67*'Pregnancy and failure rates'!$B$6</f>
        <v>#N/A</v>
      </c>
      <c r="O100" s="111" t="e">
        <f>O67*'Pregnancy and failure rates'!$B$6</f>
        <v>#N/A</v>
      </c>
      <c r="P100" s="111" t="e">
        <f>P67*'Pregnancy and failure rates'!$B$6</f>
        <v>#N/A</v>
      </c>
      <c r="Q100" s="111" t="e">
        <f>Q67*'Pregnancy and failure rates'!$B$6</f>
        <v>#N/A</v>
      </c>
      <c r="R100" s="111" t="e">
        <f>R67*'Pregnancy and failure rates'!$B$6</f>
        <v>#N/A</v>
      </c>
      <c r="S100" s="111" t="e">
        <f>S67*'Pregnancy and failure rates'!$B$6</f>
        <v>#N/A</v>
      </c>
      <c r="T100" s="111" t="e">
        <f>T67*'Pregnancy and failure rates'!$B$6</f>
        <v>#N/A</v>
      </c>
      <c r="U100" s="111" t="e">
        <f>U67*'Pregnancy and failure rates'!$B$6</f>
        <v>#N/A</v>
      </c>
      <c r="V100" s="111" t="e">
        <f>V67*'Pregnancy and failure rates'!$B$6</f>
        <v>#N/A</v>
      </c>
    </row>
    <row r="101" spans="3:26" x14ac:dyDescent="0.3">
      <c r="C101" s="105" t="str">
        <f>$C$35</f>
        <v>LAM &amp; Other Modern Methods</v>
      </c>
      <c r="D101" s="111" t="e">
        <f>D68*'Pregnancy and failure rates'!$B$6</f>
        <v>#N/A</v>
      </c>
      <c r="E101" s="111" t="e">
        <f>E68*'Pregnancy and failure rates'!$B$6</f>
        <v>#N/A</v>
      </c>
      <c r="F101" s="111" t="e">
        <f>F68*'Pregnancy and failure rates'!$B$6</f>
        <v>#N/A</v>
      </c>
      <c r="G101" s="111" t="e">
        <f>G68*'Pregnancy and failure rates'!$B$6</f>
        <v>#N/A</v>
      </c>
      <c r="H101" s="111" t="e">
        <f>H68*'Pregnancy and failure rates'!$B$6</f>
        <v>#N/A</v>
      </c>
      <c r="I101" s="111" t="e">
        <f>I68*'Pregnancy and failure rates'!$B$6</f>
        <v>#N/A</v>
      </c>
      <c r="J101" s="111" t="e">
        <f>J68*'Pregnancy and failure rates'!$B$6</f>
        <v>#N/A</v>
      </c>
      <c r="K101" s="111" t="e">
        <f>K68*'Pregnancy and failure rates'!$B$6</f>
        <v>#N/A</v>
      </c>
      <c r="L101" s="111" t="e">
        <f>L68*'Pregnancy and failure rates'!$B$6</f>
        <v>#N/A</v>
      </c>
      <c r="M101" s="111" t="e">
        <f>M68*'Pregnancy and failure rates'!$B$6</f>
        <v>#N/A</v>
      </c>
      <c r="N101" s="111" t="e">
        <f>N68*'Pregnancy and failure rates'!$B$6</f>
        <v>#N/A</v>
      </c>
      <c r="O101" s="111" t="e">
        <f>O68*'Pregnancy and failure rates'!$B$6</f>
        <v>#N/A</v>
      </c>
      <c r="P101" s="111" t="e">
        <f>P68*'Pregnancy and failure rates'!$B$6</f>
        <v>#N/A</v>
      </c>
      <c r="Q101" s="111" t="e">
        <f>Q68*'Pregnancy and failure rates'!$B$6</f>
        <v>#N/A</v>
      </c>
      <c r="R101" s="111" t="e">
        <f>R68*'Pregnancy and failure rates'!$B$6</f>
        <v>#N/A</v>
      </c>
      <c r="S101" s="111" t="e">
        <f>S68*'Pregnancy and failure rates'!$B$6</f>
        <v>#N/A</v>
      </c>
      <c r="T101" s="111" t="e">
        <f>T68*'Pregnancy and failure rates'!$B$6</f>
        <v>#N/A</v>
      </c>
      <c r="U101" s="111" t="e">
        <f>U68*'Pregnancy and failure rates'!$B$6</f>
        <v>#N/A</v>
      </c>
      <c r="V101" s="111" t="e">
        <f>V68*'Pregnancy and failure rates'!$B$6</f>
        <v>#N/A</v>
      </c>
    </row>
    <row r="102" spans="3:26" x14ac:dyDescent="0.3">
      <c r="C102" s="106" t="s">
        <v>7</v>
      </c>
      <c r="D102" s="107" t="e">
        <f>SUM(D94:D101)</f>
        <v>#N/A</v>
      </c>
      <c r="E102" s="107" t="e">
        <f t="shared" ref="E102:L102" si="41">SUM(E94:E101)</f>
        <v>#N/A</v>
      </c>
      <c r="F102" s="107" t="e">
        <f t="shared" si="41"/>
        <v>#N/A</v>
      </c>
      <c r="G102" s="107" t="e">
        <f t="shared" si="41"/>
        <v>#N/A</v>
      </c>
      <c r="H102" s="107" t="e">
        <f t="shared" si="41"/>
        <v>#N/A</v>
      </c>
      <c r="I102" s="107" t="e">
        <f t="shared" si="41"/>
        <v>#N/A</v>
      </c>
      <c r="J102" s="107" t="e">
        <f t="shared" si="41"/>
        <v>#N/A</v>
      </c>
      <c r="K102" s="107" t="e">
        <f t="shared" si="41"/>
        <v>#N/A</v>
      </c>
      <c r="L102" s="107" t="e">
        <f t="shared" si="41"/>
        <v>#N/A</v>
      </c>
      <c r="M102" s="107" t="e">
        <f t="shared" ref="M102:V102" si="42">SUM(M94:M101)</f>
        <v>#N/A</v>
      </c>
      <c r="N102" s="107" t="e">
        <f t="shared" si="42"/>
        <v>#N/A</v>
      </c>
      <c r="O102" s="107" t="e">
        <f t="shared" si="42"/>
        <v>#N/A</v>
      </c>
      <c r="P102" s="107" t="e">
        <f t="shared" si="42"/>
        <v>#N/A</v>
      </c>
      <c r="Q102" s="107" t="e">
        <f t="shared" si="42"/>
        <v>#N/A</v>
      </c>
      <c r="R102" s="107" t="e">
        <f t="shared" si="42"/>
        <v>#N/A</v>
      </c>
      <c r="S102" s="107" t="e">
        <f t="shared" si="42"/>
        <v>#N/A</v>
      </c>
      <c r="T102" s="107" t="e">
        <f t="shared" si="42"/>
        <v>#N/A</v>
      </c>
      <c r="U102" s="107" t="e">
        <f t="shared" si="42"/>
        <v>#N/A</v>
      </c>
      <c r="V102" s="107" t="e">
        <f t="shared" si="42"/>
        <v>#N/A</v>
      </c>
    </row>
    <row r="103" spans="3:26" x14ac:dyDescent="0.3">
      <c r="C103" s="106"/>
      <c r="R103" s="9"/>
      <c r="S103" s="9"/>
      <c r="T103" s="9"/>
      <c r="U103" s="9"/>
    </row>
    <row r="104" spans="3:26" x14ac:dyDescent="0.3">
      <c r="C104" s="103" t="str">
        <f>IF(Language=English, Y104, Z104)</f>
        <v>Births averted by modern use</v>
      </c>
      <c r="D104" s="104"/>
      <c r="E104" s="104"/>
      <c r="F104" s="104"/>
      <c r="G104" s="104"/>
      <c r="H104" s="104"/>
      <c r="I104" s="104"/>
      <c r="J104" s="104"/>
      <c r="K104" s="104"/>
      <c r="L104" s="104"/>
      <c r="M104" s="104"/>
      <c r="N104" s="104"/>
      <c r="O104" s="104"/>
      <c r="P104" s="104"/>
      <c r="Q104" s="104"/>
      <c r="R104" s="104"/>
      <c r="S104" s="104"/>
      <c r="T104" s="104"/>
      <c r="U104" s="104"/>
      <c r="V104" s="104"/>
      <c r="Y104" s="10" t="s">
        <v>488</v>
      </c>
      <c r="Z104" s="108" t="s">
        <v>489</v>
      </c>
    </row>
    <row r="105" spans="3:26" x14ac:dyDescent="0.3">
      <c r="C105" s="105" t="str">
        <f>$C$28</f>
        <v>Female sterilization</v>
      </c>
      <c r="D105" s="111" t="e">
        <f>D61-D72-D94</f>
        <v>#N/A</v>
      </c>
      <c r="E105" s="111" t="e">
        <f t="shared" ref="E105:L105" si="43">E61-E72-E94</f>
        <v>#N/A</v>
      </c>
      <c r="F105" s="111" t="e">
        <f t="shared" si="43"/>
        <v>#N/A</v>
      </c>
      <c r="G105" s="111" t="e">
        <f t="shared" si="43"/>
        <v>#N/A</v>
      </c>
      <c r="H105" s="111" t="e">
        <f t="shared" si="43"/>
        <v>#N/A</v>
      </c>
      <c r="I105" s="111" t="e">
        <f t="shared" si="43"/>
        <v>#N/A</v>
      </c>
      <c r="J105" s="111" t="e">
        <f t="shared" si="43"/>
        <v>#N/A</v>
      </c>
      <c r="K105" s="111" t="e">
        <f t="shared" si="43"/>
        <v>#N/A</v>
      </c>
      <c r="L105" s="111" t="e">
        <f t="shared" si="43"/>
        <v>#N/A</v>
      </c>
      <c r="M105" s="111" t="e">
        <f t="shared" ref="M105:V105" si="44">M61-M72-M94</f>
        <v>#N/A</v>
      </c>
      <c r="N105" s="111" t="e">
        <f t="shared" si="44"/>
        <v>#N/A</v>
      </c>
      <c r="O105" s="111" t="e">
        <f t="shared" si="44"/>
        <v>#N/A</v>
      </c>
      <c r="P105" s="111" t="e">
        <f t="shared" si="44"/>
        <v>#N/A</v>
      </c>
      <c r="Q105" s="111" t="e">
        <f t="shared" si="44"/>
        <v>#N/A</v>
      </c>
      <c r="R105" s="111" t="e">
        <f t="shared" si="44"/>
        <v>#N/A</v>
      </c>
      <c r="S105" s="111" t="e">
        <f t="shared" si="44"/>
        <v>#N/A</v>
      </c>
      <c r="T105" s="111" t="e">
        <f t="shared" si="44"/>
        <v>#N/A</v>
      </c>
      <c r="U105" s="111" t="e">
        <f t="shared" si="44"/>
        <v>#N/A</v>
      </c>
      <c r="V105" s="111" t="e">
        <f t="shared" si="44"/>
        <v>#N/A</v>
      </c>
    </row>
    <row r="106" spans="3:26" x14ac:dyDescent="0.3">
      <c r="C106" s="105" t="str">
        <f>$C$29</f>
        <v>Male sterilization</v>
      </c>
      <c r="D106" s="111" t="e">
        <f t="shared" ref="D106:L112" si="45">D62-D73-D95</f>
        <v>#N/A</v>
      </c>
      <c r="E106" s="111" t="e">
        <f t="shared" si="45"/>
        <v>#N/A</v>
      </c>
      <c r="F106" s="111" t="e">
        <f t="shared" si="45"/>
        <v>#N/A</v>
      </c>
      <c r="G106" s="111" t="e">
        <f t="shared" si="45"/>
        <v>#N/A</v>
      </c>
      <c r="H106" s="111" t="e">
        <f t="shared" si="45"/>
        <v>#N/A</v>
      </c>
      <c r="I106" s="111" t="e">
        <f t="shared" si="45"/>
        <v>#N/A</v>
      </c>
      <c r="J106" s="111" t="e">
        <f t="shared" si="45"/>
        <v>#N/A</v>
      </c>
      <c r="K106" s="111" t="e">
        <f t="shared" si="45"/>
        <v>#N/A</v>
      </c>
      <c r="L106" s="111" t="e">
        <f t="shared" si="45"/>
        <v>#N/A</v>
      </c>
      <c r="M106" s="111" t="e">
        <f t="shared" ref="M106:V106" si="46">M62-M73-M95</f>
        <v>#N/A</v>
      </c>
      <c r="N106" s="111" t="e">
        <f t="shared" si="46"/>
        <v>#N/A</v>
      </c>
      <c r="O106" s="111" t="e">
        <f t="shared" si="46"/>
        <v>#N/A</v>
      </c>
      <c r="P106" s="111" t="e">
        <f t="shared" si="46"/>
        <v>#N/A</v>
      </c>
      <c r="Q106" s="111" t="e">
        <f t="shared" si="46"/>
        <v>#N/A</v>
      </c>
      <c r="R106" s="111" t="e">
        <f t="shared" si="46"/>
        <v>#N/A</v>
      </c>
      <c r="S106" s="111" t="e">
        <f t="shared" si="46"/>
        <v>#N/A</v>
      </c>
      <c r="T106" s="111" t="e">
        <f t="shared" si="46"/>
        <v>#N/A</v>
      </c>
      <c r="U106" s="111" t="e">
        <f t="shared" si="46"/>
        <v>#N/A</v>
      </c>
      <c r="V106" s="111" t="e">
        <f t="shared" si="46"/>
        <v>#N/A</v>
      </c>
    </row>
    <row r="107" spans="3:26" x14ac:dyDescent="0.3">
      <c r="C107" s="105" t="str">
        <f>$C$30</f>
        <v>IUD</v>
      </c>
      <c r="D107" s="111" t="e">
        <f t="shared" si="45"/>
        <v>#N/A</v>
      </c>
      <c r="E107" s="111" t="e">
        <f t="shared" si="45"/>
        <v>#N/A</v>
      </c>
      <c r="F107" s="111" t="e">
        <f t="shared" si="45"/>
        <v>#N/A</v>
      </c>
      <c r="G107" s="111" t="e">
        <f t="shared" si="45"/>
        <v>#N/A</v>
      </c>
      <c r="H107" s="111" t="e">
        <f t="shared" si="45"/>
        <v>#N/A</v>
      </c>
      <c r="I107" s="111" t="e">
        <f t="shared" si="45"/>
        <v>#N/A</v>
      </c>
      <c r="J107" s="111" t="e">
        <f t="shared" si="45"/>
        <v>#N/A</v>
      </c>
      <c r="K107" s="111" t="e">
        <f t="shared" si="45"/>
        <v>#N/A</v>
      </c>
      <c r="L107" s="111" t="e">
        <f t="shared" si="45"/>
        <v>#N/A</v>
      </c>
      <c r="M107" s="111" t="e">
        <f t="shared" ref="M107:V107" si="47">M63-M74-M96</f>
        <v>#N/A</v>
      </c>
      <c r="N107" s="111" t="e">
        <f t="shared" si="47"/>
        <v>#N/A</v>
      </c>
      <c r="O107" s="111" t="e">
        <f t="shared" si="47"/>
        <v>#N/A</v>
      </c>
      <c r="P107" s="111" t="e">
        <f t="shared" si="47"/>
        <v>#N/A</v>
      </c>
      <c r="Q107" s="111" t="e">
        <f t="shared" si="47"/>
        <v>#N/A</v>
      </c>
      <c r="R107" s="111" t="e">
        <f t="shared" si="47"/>
        <v>#N/A</v>
      </c>
      <c r="S107" s="111" t="e">
        <f t="shared" si="47"/>
        <v>#N/A</v>
      </c>
      <c r="T107" s="111" t="e">
        <f t="shared" si="47"/>
        <v>#N/A</v>
      </c>
      <c r="U107" s="111" t="e">
        <f t="shared" si="47"/>
        <v>#N/A</v>
      </c>
      <c r="V107" s="111" t="e">
        <f t="shared" si="47"/>
        <v>#N/A</v>
      </c>
    </row>
    <row r="108" spans="3:26" x14ac:dyDescent="0.3">
      <c r="C108" s="105" t="str">
        <f>$C$31</f>
        <v>Implants</v>
      </c>
      <c r="D108" s="111" t="e">
        <f t="shared" si="45"/>
        <v>#N/A</v>
      </c>
      <c r="E108" s="111" t="e">
        <f t="shared" si="45"/>
        <v>#N/A</v>
      </c>
      <c r="F108" s="111" t="e">
        <f t="shared" si="45"/>
        <v>#N/A</v>
      </c>
      <c r="G108" s="111" t="e">
        <f t="shared" si="45"/>
        <v>#N/A</v>
      </c>
      <c r="H108" s="111" t="e">
        <f t="shared" si="45"/>
        <v>#N/A</v>
      </c>
      <c r="I108" s="111" t="e">
        <f t="shared" si="45"/>
        <v>#N/A</v>
      </c>
      <c r="J108" s="111" t="e">
        <f t="shared" si="45"/>
        <v>#N/A</v>
      </c>
      <c r="K108" s="111" t="e">
        <f t="shared" si="45"/>
        <v>#N/A</v>
      </c>
      <c r="L108" s="111" t="e">
        <f t="shared" si="45"/>
        <v>#N/A</v>
      </c>
      <c r="M108" s="111" t="e">
        <f t="shared" ref="M108:V108" si="48">M64-M75-M97</f>
        <v>#N/A</v>
      </c>
      <c r="N108" s="111" t="e">
        <f t="shared" si="48"/>
        <v>#N/A</v>
      </c>
      <c r="O108" s="111" t="e">
        <f t="shared" si="48"/>
        <v>#N/A</v>
      </c>
      <c r="P108" s="111" t="e">
        <f t="shared" si="48"/>
        <v>#N/A</v>
      </c>
      <c r="Q108" s="111" t="e">
        <f t="shared" si="48"/>
        <v>#N/A</v>
      </c>
      <c r="R108" s="111" t="e">
        <f t="shared" si="48"/>
        <v>#N/A</v>
      </c>
      <c r="S108" s="111" t="e">
        <f t="shared" si="48"/>
        <v>#N/A</v>
      </c>
      <c r="T108" s="111" t="e">
        <f t="shared" si="48"/>
        <v>#N/A</v>
      </c>
      <c r="U108" s="111" t="e">
        <f t="shared" si="48"/>
        <v>#N/A</v>
      </c>
      <c r="V108" s="111" t="e">
        <f t="shared" si="48"/>
        <v>#N/A</v>
      </c>
    </row>
    <row r="109" spans="3:26" x14ac:dyDescent="0.3">
      <c r="C109" s="105" t="str">
        <f>$C$32</f>
        <v>Injections</v>
      </c>
      <c r="D109" s="111" t="e">
        <f t="shared" si="45"/>
        <v>#N/A</v>
      </c>
      <c r="E109" s="111" t="e">
        <f t="shared" si="45"/>
        <v>#N/A</v>
      </c>
      <c r="F109" s="111" t="e">
        <f t="shared" si="45"/>
        <v>#N/A</v>
      </c>
      <c r="G109" s="111" t="e">
        <f t="shared" si="45"/>
        <v>#N/A</v>
      </c>
      <c r="H109" s="111" t="e">
        <f t="shared" si="45"/>
        <v>#N/A</v>
      </c>
      <c r="I109" s="111" t="e">
        <f t="shared" si="45"/>
        <v>#N/A</v>
      </c>
      <c r="J109" s="111" t="e">
        <f t="shared" si="45"/>
        <v>#N/A</v>
      </c>
      <c r="K109" s="111" t="e">
        <f t="shared" si="45"/>
        <v>#N/A</v>
      </c>
      <c r="L109" s="111" t="e">
        <f t="shared" si="45"/>
        <v>#N/A</v>
      </c>
      <c r="M109" s="111" t="e">
        <f t="shared" ref="M109:V109" si="49">M65-M76-M98</f>
        <v>#N/A</v>
      </c>
      <c r="N109" s="111" t="e">
        <f t="shared" si="49"/>
        <v>#N/A</v>
      </c>
      <c r="O109" s="111" t="e">
        <f t="shared" si="49"/>
        <v>#N/A</v>
      </c>
      <c r="P109" s="111" t="e">
        <f t="shared" si="49"/>
        <v>#N/A</v>
      </c>
      <c r="Q109" s="111" t="e">
        <f t="shared" si="49"/>
        <v>#N/A</v>
      </c>
      <c r="R109" s="111" t="e">
        <f t="shared" si="49"/>
        <v>#N/A</v>
      </c>
      <c r="S109" s="111" t="e">
        <f t="shared" si="49"/>
        <v>#N/A</v>
      </c>
      <c r="T109" s="111" t="e">
        <f t="shared" si="49"/>
        <v>#N/A</v>
      </c>
      <c r="U109" s="111" t="e">
        <f t="shared" si="49"/>
        <v>#N/A</v>
      </c>
      <c r="V109" s="111" t="e">
        <f t="shared" si="49"/>
        <v>#N/A</v>
      </c>
    </row>
    <row r="110" spans="3:26" x14ac:dyDescent="0.3">
      <c r="C110" s="105" t="str">
        <f>$C$33</f>
        <v>Pill</v>
      </c>
      <c r="D110" s="111" t="e">
        <f t="shared" si="45"/>
        <v>#N/A</v>
      </c>
      <c r="E110" s="111" t="e">
        <f t="shared" si="45"/>
        <v>#N/A</v>
      </c>
      <c r="F110" s="111" t="e">
        <f t="shared" si="45"/>
        <v>#N/A</v>
      </c>
      <c r="G110" s="111" t="e">
        <f t="shared" si="45"/>
        <v>#N/A</v>
      </c>
      <c r="H110" s="111" t="e">
        <f t="shared" si="45"/>
        <v>#N/A</v>
      </c>
      <c r="I110" s="111" t="e">
        <f t="shared" si="45"/>
        <v>#N/A</v>
      </c>
      <c r="J110" s="111" t="e">
        <f t="shared" si="45"/>
        <v>#N/A</v>
      </c>
      <c r="K110" s="111" t="e">
        <f t="shared" si="45"/>
        <v>#N/A</v>
      </c>
      <c r="L110" s="111" t="e">
        <f t="shared" si="45"/>
        <v>#N/A</v>
      </c>
      <c r="M110" s="111" t="e">
        <f t="shared" ref="M110:V110" si="50">M66-M77-M99</f>
        <v>#N/A</v>
      </c>
      <c r="N110" s="111" t="e">
        <f t="shared" si="50"/>
        <v>#N/A</v>
      </c>
      <c r="O110" s="111" t="e">
        <f t="shared" si="50"/>
        <v>#N/A</v>
      </c>
      <c r="P110" s="111" t="e">
        <f t="shared" si="50"/>
        <v>#N/A</v>
      </c>
      <c r="Q110" s="111" t="e">
        <f t="shared" si="50"/>
        <v>#N/A</v>
      </c>
      <c r="R110" s="111" t="e">
        <f t="shared" si="50"/>
        <v>#N/A</v>
      </c>
      <c r="S110" s="111" t="e">
        <f t="shared" si="50"/>
        <v>#N/A</v>
      </c>
      <c r="T110" s="111" t="e">
        <f t="shared" si="50"/>
        <v>#N/A</v>
      </c>
      <c r="U110" s="111" t="e">
        <f t="shared" si="50"/>
        <v>#N/A</v>
      </c>
      <c r="V110" s="111" t="e">
        <f t="shared" si="50"/>
        <v>#N/A</v>
      </c>
    </row>
    <row r="111" spans="3:26" x14ac:dyDescent="0.3">
      <c r="C111" s="105" t="str">
        <f>$C$34</f>
        <v>Male Condom</v>
      </c>
      <c r="D111" s="111" t="e">
        <f t="shared" si="45"/>
        <v>#N/A</v>
      </c>
      <c r="E111" s="111" t="e">
        <f t="shared" si="45"/>
        <v>#N/A</v>
      </c>
      <c r="F111" s="111" t="e">
        <f t="shared" si="45"/>
        <v>#N/A</v>
      </c>
      <c r="G111" s="111" t="e">
        <f t="shared" si="45"/>
        <v>#N/A</v>
      </c>
      <c r="H111" s="111" t="e">
        <f t="shared" si="45"/>
        <v>#N/A</v>
      </c>
      <c r="I111" s="111" t="e">
        <f t="shared" si="45"/>
        <v>#N/A</v>
      </c>
      <c r="J111" s="111" t="e">
        <f t="shared" si="45"/>
        <v>#N/A</v>
      </c>
      <c r="K111" s="111" t="e">
        <f t="shared" si="45"/>
        <v>#N/A</v>
      </c>
      <c r="L111" s="111" t="e">
        <f t="shared" si="45"/>
        <v>#N/A</v>
      </c>
      <c r="M111" s="111" t="e">
        <f t="shared" ref="M111:V111" si="51">M67-M78-M100</f>
        <v>#N/A</v>
      </c>
      <c r="N111" s="111" t="e">
        <f t="shared" si="51"/>
        <v>#N/A</v>
      </c>
      <c r="O111" s="111" t="e">
        <f t="shared" si="51"/>
        <v>#N/A</v>
      </c>
      <c r="P111" s="111" t="e">
        <f t="shared" si="51"/>
        <v>#N/A</v>
      </c>
      <c r="Q111" s="111" t="e">
        <f t="shared" si="51"/>
        <v>#N/A</v>
      </c>
      <c r="R111" s="111" t="e">
        <f t="shared" si="51"/>
        <v>#N/A</v>
      </c>
      <c r="S111" s="111" t="e">
        <f t="shared" si="51"/>
        <v>#N/A</v>
      </c>
      <c r="T111" s="111" t="e">
        <f t="shared" si="51"/>
        <v>#N/A</v>
      </c>
      <c r="U111" s="111" t="e">
        <f t="shared" si="51"/>
        <v>#N/A</v>
      </c>
      <c r="V111" s="111" t="e">
        <f t="shared" si="51"/>
        <v>#N/A</v>
      </c>
    </row>
    <row r="112" spans="3:26" x14ac:dyDescent="0.3">
      <c r="C112" s="105" t="str">
        <f>$C$35</f>
        <v>LAM &amp; Other Modern Methods</v>
      </c>
      <c r="D112" s="111" t="e">
        <f t="shared" si="45"/>
        <v>#N/A</v>
      </c>
      <c r="E112" s="111" t="e">
        <f t="shared" si="45"/>
        <v>#N/A</v>
      </c>
      <c r="F112" s="111" t="e">
        <f t="shared" si="45"/>
        <v>#N/A</v>
      </c>
      <c r="G112" s="111" t="e">
        <f t="shared" si="45"/>
        <v>#N/A</v>
      </c>
      <c r="H112" s="111" t="e">
        <f t="shared" si="45"/>
        <v>#N/A</v>
      </c>
      <c r="I112" s="111" t="e">
        <f t="shared" si="45"/>
        <v>#N/A</v>
      </c>
      <c r="J112" s="111" t="e">
        <f t="shared" si="45"/>
        <v>#N/A</v>
      </c>
      <c r="K112" s="111" t="e">
        <f t="shared" si="45"/>
        <v>#N/A</v>
      </c>
      <c r="L112" s="111" t="e">
        <f t="shared" si="45"/>
        <v>#N/A</v>
      </c>
      <c r="M112" s="111" t="e">
        <f t="shared" ref="M112:V112" si="52">M68-M79-M101</f>
        <v>#N/A</v>
      </c>
      <c r="N112" s="111" t="e">
        <f t="shared" si="52"/>
        <v>#N/A</v>
      </c>
      <c r="O112" s="111" t="e">
        <f t="shared" si="52"/>
        <v>#N/A</v>
      </c>
      <c r="P112" s="111" t="e">
        <f t="shared" si="52"/>
        <v>#N/A</v>
      </c>
      <c r="Q112" s="111" t="e">
        <f t="shared" si="52"/>
        <v>#N/A</v>
      </c>
      <c r="R112" s="111" t="e">
        <f t="shared" si="52"/>
        <v>#N/A</v>
      </c>
      <c r="S112" s="111" t="e">
        <f t="shared" si="52"/>
        <v>#N/A</v>
      </c>
      <c r="T112" s="111" t="e">
        <f t="shared" si="52"/>
        <v>#N/A</v>
      </c>
      <c r="U112" s="111" t="e">
        <f t="shared" si="52"/>
        <v>#N/A</v>
      </c>
      <c r="V112" s="111" t="e">
        <f t="shared" si="52"/>
        <v>#N/A</v>
      </c>
    </row>
    <row r="113" spans="3:26" x14ac:dyDescent="0.3">
      <c r="C113" s="106" t="s">
        <v>7</v>
      </c>
      <c r="D113" s="107" t="e">
        <f>SUM(D105:D112)</f>
        <v>#N/A</v>
      </c>
      <c r="E113" s="107" t="e">
        <f t="shared" ref="E113:L113" si="53">SUM(E105:E112)</f>
        <v>#N/A</v>
      </c>
      <c r="F113" s="107" t="e">
        <f t="shared" si="53"/>
        <v>#N/A</v>
      </c>
      <c r="G113" s="107" t="e">
        <f t="shared" si="53"/>
        <v>#N/A</v>
      </c>
      <c r="H113" s="107" t="e">
        <f t="shared" si="53"/>
        <v>#N/A</v>
      </c>
      <c r="I113" s="107" t="e">
        <f t="shared" si="53"/>
        <v>#N/A</v>
      </c>
      <c r="J113" s="107" t="e">
        <f t="shared" si="53"/>
        <v>#N/A</v>
      </c>
      <c r="K113" s="107" t="e">
        <f t="shared" si="53"/>
        <v>#N/A</v>
      </c>
      <c r="L113" s="107" t="e">
        <f t="shared" si="53"/>
        <v>#N/A</v>
      </c>
      <c r="M113" s="107" t="e">
        <f t="shared" ref="M113:V113" si="54">SUM(M105:M112)</f>
        <v>#N/A</v>
      </c>
      <c r="N113" s="107" t="e">
        <f t="shared" si="54"/>
        <v>#N/A</v>
      </c>
      <c r="O113" s="107" t="e">
        <f t="shared" si="54"/>
        <v>#N/A</v>
      </c>
      <c r="P113" s="107" t="e">
        <f t="shared" si="54"/>
        <v>#N/A</v>
      </c>
      <c r="Q113" s="107" t="e">
        <f t="shared" si="54"/>
        <v>#N/A</v>
      </c>
      <c r="R113" s="107" t="e">
        <f t="shared" si="54"/>
        <v>#N/A</v>
      </c>
      <c r="S113" s="107" t="e">
        <f t="shared" si="54"/>
        <v>#N/A</v>
      </c>
      <c r="T113" s="107" t="e">
        <f t="shared" si="54"/>
        <v>#N/A</v>
      </c>
      <c r="U113" s="107" t="e">
        <f t="shared" si="54"/>
        <v>#N/A</v>
      </c>
      <c r="V113" s="107" t="e">
        <f t="shared" si="54"/>
        <v>#N/A</v>
      </c>
    </row>
    <row r="114" spans="3:26" x14ac:dyDescent="0.3">
      <c r="C114" s="106"/>
      <c r="R114" s="9"/>
      <c r="S114" s="9"/>
      <c r="T114" s="9"/>
      <c r="U114" s="9"/>
    </row>
    <row r="115" spans="3:26" x14ac:dyDescent="0.3">
      <c r="C115" s="103" t="str">
        <f>IF(Language=English, Y115, Z115)</f>
        <v>Maternal deaths averted by modern use</v>
      </c>
      <c r="D115" s="104"/>
      <c r="E115" s="104"/>
      <c r="F115" s="104"/>
      <c r="G115" s="104"/>
      <c r="H115" s="104"/>
      <c r="I115" s="104"/>
      <c r="J115" s="104"/>
      <c r="K115" s="104"/>
      <c r="L115" s="104"/>
      <c r="M115" s="104"/>
      <c r="N115" s="104"/>
      <c r="O115" s="104"/>
      <c r="P115" s="104"/>
      <c r="Q115" s="104"/>
      <c r="R115" s="104"/>
      <c r="S115" s="104"/>
      <c r="T115" s="104"/>
      <c r="U115" s="104"/>
      <c r="V115" s="104"/>
      <c r="Y115" s="10" t="s">
        <v>490</v>
      </c>
      <c r="Z115" s="108" t="s">
        <v>491</v>
      </c>
    </row>
    <row r="116" spans="3:26" x14ac:dyDescent="0.3">
      <c r="C116" s="105" t="str">
        <f>$C$28</f>
        <v>Female sterilization</v>
      </c>
      <c r="D116" s="55" t="e">
        <f t="shared" ref="D116:L123" si="55">(D105*$D$16+D94*$D$9+D83*$D$7+(D72-D83)*$D$8)/100000</f>
        <v>#N/A</v>
      </c>
      <c r="E116" s="55" t="e">
        <f t="shared" si="55"/>
        <v>#N/A</v>
      </c>
      <c r="F116" s="55" t="e">
        <f t="shared" si="55"/>
        <v>#N/A</v>
      </c>
      <c r="G116" s="55" t="e">
        <f t="shared" si="55"/>
        <v>#N/A</v>
      </c>
      <c r="H116" s="55" t="e">
        <f t="shared" si="55"/>
        <v>#N/A</v>
      </c>
      <c r="I116" s="55" t="e">
        <f t="shared" si="55"/>
        <v>#N/A</v>
      </c>
      <c r="J116" s="55" t="e">
        <f t="shared" si="55"/>
        <v>#N/A</v>
      </c>
      <c r="K116" s="55" t="e">
        <f t="shared" si="55"/>
        <v>#N/A</v>
      </c>
      <c r="L116" s="55" t="e">
        <f t="shared" si="55"/>
        <v>#N/A</v>
      </c>
      <c r="M116" s="55" t="e">
        <f t="shared" ref="M116:V116" si="56">(M105*$D$16+M94*$D$9+M83*$D$7+(M72-M83)*$D$8)/100000</f>
        <v>#N/A</v>
      </c>
      <c r="N116" s="55" t="e">
        <f t="shared" si="56"/>
        <v>#N/A</v>
      </c>
      <c r="O116" s="55" t="e">
        <f t="shared" si="56"/>
        <v>#N/A</v>
      </c>
      <c r="P116" s="55" t="e">
        <f t="shared" si="56"/>
        <v>#N/A</v>
      </c>
      <c r="Q116" s="55" t="e">
        <f t="shared" si="56"/>
        <v>#N/A</v>
      </c>
      <c r="R116" s="55" t="e">
        <f t="shared" si="56"/>
        <v>#N/A</v>
      </c>
      <c r="S116" s="55" t="e">
        <f t="shared" si="56"/>
        <v>#N/A</v>
      </c>
      <c r="T116" s="55" t="e">
        <f t="shared" si="56"/>
        <v>#N/A</v>
      </c>
      <c r="U116" s="55" t="e">
        <f t="shared" si="56"/>
        <v>#N/A</v>
      </c>
      <c r="V116" s="55" t="e">
        <f t="shared" si="56"/>
        <v>#N/A</v>
      </c>
    </row>
    <row r="117" spans="3:26" x14ac:dyDescent="0.3">
      <c r="C117" s="105" t="str">
        <f>$C$29</f>
        <v>Male sterilization</v>
      </c>
      <c r="D117" s="55" t="e">
        <f t="shared" si="55"/>
        <v>#N/A</v>
      </c>
      <c r="E117" s="55" t="e">
        <f t="shared" si="55"/>
        <v>#N/A</v>
      </c>
      <c r="F117" s="55" t="e">
        <f t="shared" si="55"/>
        <v>#N/A</v>
      </c>
      <c r="G117" s="55" t="e">
        <f t="shared" si="55"/>
        <v>#N/A</v>
      </c>
      <c r="H117" s="55" t="e">
        <f t="shared" si="55"/>
        <v>#N/A</v>
      </c>
      <c r="I117" s="55" t="e">
        <f t="shared" si="55"/>
        <v>#N/A</v>
      </c>
      <c r="J117" s="55" t="e">
        <f t="shared" si="55"/>
        <v>#N/A</v>
      </c>
      <c r="K117" s="55" t="e">
        <f t="shared" si="55"/>
        <v>#N/A</v>
      </c>
      <c r="L117" s="55" t="e">
        <f t="shared" si="55"/>
        <v>#N/A</v>
      </c>
      <c r="M117" s="55" t="e">
        <f t="shared" ref="M117:V117" si="57">(M106*$D$16+M95*$D$9+M84*$D$7+(M73-M84)*$D$8)/100000</f>
        <v>#N/A</v>
      </c>
      <c r="N117" s="55" t="e">
        <f t="shared" si="57"/>
        <v>#N/A</v>
      </c>
      <c r="O117" s="55" t="e">
        <f t="shared" si="57"/>
        <v>#N/A</v>
      </c>
      <c r="P117" s="55" t="e">
        <f t="shared" si="57"/>
        <v>#N/A</v>
      </c>
      <c r="Q117" s="55" t="e">
        <f t="shared" si="57"/>
        <v>#N/A</v>
      </c>
      <c r="R117" s="55" t="e">
        <f t="shared" si="57"/>
        <v>#N/A</v>
      </c>
      <c r="S117" s="55" t="e">
        <f t="shared" si="57"/>
        <v>#N/A</v>
      </c>
      <c r="T117" s="55" t="e">
        <f t="shared" si="57"/>
        <v>#N/A</v>
      </c>
      <c r="U117" s="55" t="e">
        <f t="shared" si="57"/>
        <v>#N/A</v>
      </c>
      <c r="V117" s="55" t="e">
        <f t="shared" si="57"/>
        <v>#N/A</v>
      </c>
    </row>
    <row r="118" spans="3:26" x14ac:dyDescent="0.3">
      <c r="C118" s="105" t="str">
        <f>$C$30</f>
        <v>IUD</v>
      </c>
      <c r="D118" s="55" t="e">
        <f t="shared" si="55"/>
        <v>#N/A</v>
      </c>
      <c r="E118" s="55" t="e">
        <f t="shared" si="55"/>
        <v>#N/A</v>
      </c>
      <c r="F118" s="55" t="e">
        <f t="shared" si="55"/>
        <v>#N/A</v>
      </c>
      <c r="G118" s="55" t="e">
        <f t="shared" si="55"/>
        <v>#N/A</v>
      </c>
      <c r="H118" s="55" t="e">
        <f t="shared" si="55"/>
        <v>#N/A</v>
      </c>
      <c r="I118" s="55" t="e">
        <f t="shared" si="55"/>
        <v>#N/A</v>
      </c>
      <c r="J118" s="55" t="e">
        <f t="shared" si="55"/>
        <v>#N/A</v>
      </c>
      <c r="K118" s="55" t="e">
        <f t="shared" si="55"/>
        <v>#N/A</v>
      </c>
      <c r="L118" s="55" t="e">
        <f t="shared" si="55"/>
        <v>#N/A</v>
      </c>
      <c r="M118" s="55" t="e">
        <f t="shared" ref="M118:V118" si="58">(M107*$D$16+M96*$D$9+M85*$D$7+(M74-M85)*$D$8)/100000</f>
        <v>#N/A</v>
      </c>
      <c r="N118" s="55" t="e">
        <f t="shared" si="58"/>
        <v>#N/A</v>
      </c>
      <c r="O118" s="55" t="e">
        <f t="shared" si="58"/>
        <v>#N/A</v>
      </c>
      <c r="P118" s="55" t="e">
        <f t="shared" si="58"/>
        <v>#N/A</v>
      </c>
      <c r="Q118" s="55" t="e">
        <f t="shared" si="58"/>
        <v>#N/A</v>
      </c>
      <c r="R118" s="55" t="e">
        <f t="shared" si="58"/>
        <v>#N/A</v>
      </c>
      <c r="S118" s="55" t="e">
        <f t="shared" si="58"/>
        <v>#N/A</v>
      </c>
      <c r="T118" s="55" t="e">
        <f t="shared" si="58"/>
        <v>#N/A</v>
      </c>
      <c r="U118" s="55" t="e">
        <f t="shared" si="58"/>
        <v>#N/A</v>
      </c>
      <c r="V118" s="55" t="e">
        <f t="shared" si="58"/>
        <v>#N/A</v>
      </c>
    </row>
    <row r="119" spans="3:26" x14ac:dyDescent="0.3">
      <c r="C119" s="105" t="str">
        <f>$C$31</f>
        <v>Implants</v>
      </c>
      <c r="D119" s="55" t="e">
        <f t="shared" si="55"/>
        <v>#N/A</v>
      </c>
      <c r="E119" s="55" t="e">
        <f t="shared" si="55"/>
        <v>#N/A</v>
      </c>
      <c r="F119" s="55" t="e">
        <f t="shared" si="55"/>
        <v>#N/A</v>
      </c>
      <c r="G119" s="55" t="e">
        <f t="shared" si="55"/>
        <v>#N/A</v>
      </c>
      <c r="H119" s="55" t="e">
        <f t="shared" si="55"/>
        <v>#N/A</v>
      </c>
      <c r="I119" s="55" t="e">
        <f t="shared" si="55"/>
        <v>#N/A</v>
      </c>
      <c r="J119" s="55" t="e">
        <f t="shared" si="55"/>
        <v>#N/A</v>
      </c>
      <c r="K119" s="55" t="e">
        <f t="shared" si="55"/>
        <v>#N/A</v>
      </c>
      <c r="L119" s="55" t="e">
        <f t="shared" si="55"/>
        <v>#N/A</v>
      </c>
      <c r="M119" s="55" t="e">
        <f t="shared" ref="M119:V119" si="59">(M108*$D$16+M97*$D$9+M86*$D$7+(M75-M86)*$D$8)/100000</f>
        <v>#N/A</v>
      </c>
      <c r="N119" s="55" t="e">
        <f t="shared" si="59"/>
        <v>#N/A</v>
      </c>
      <c r="O119" s="55" t="e">
        <f t="shared" si="59"/>
        <v>#N/A</v>
      </c>
      <c r="P119" s="55" t="e">
        <f t="shared" si="59"/>
        <v>#N/A</v>
      </c>
      <c r="Q119" s="55" t="e">
        <f t="shared" si="59"/>
        <v>#N/A</v>
      </c>
      <c r="R119" s="55" t="e">
        <f t="shared" si="59"/>
        <v>#N/A</v>
      </c>
      <c r="S119" s="55" t="e">
        <f t="shared" si="59"/>
        <v>#N/A</v>
      </c>
      <c r="T119" s="55" t="e">
        <f t="shared" si="59"/>
        <v>#N/A</v>
      </c>
      <c r="U119" s="55" t="e">
        <f t="shared" si="59"/>
        <v>#N/A</v>
      </c>
      <c r="V119" s="55" t="e">
        <f t="shared" si="59"/>
        <v>#N/A</v>
      </c>
    </row>
    <row r="120" spans="3:26" x14ac:dyDescent="0.3">
      <c r="C120" s="105" t="str">
        <f>$C$32</f>
        <v>Injections</v>
      </c>
      <c r="D120" s="55" t="e">
        <f t="shared" si="55"/>
        <v>#N/A</v>
      </c>
      <c r="E120" s="55" t="e">
        <f t="shared" si="55"/>
        <v>#N/A</v>
      </c>
      <c r="F120" s="55" t="e">
        <f t="shared" si="55"/>
        <v>#N/A</v>
      </c>
      <c r="G120" s="55" t="e">
        <f t="shared" si="55"/>
        <v>#N/A</v>
      </c>
      <c r="H120" s="55" t="e">
        <f t="shared" si="55"/>
        <v>#N/A</v>
      </c>
      <c r="I120" s="55" t="e">
        <f t="shared" si="55"/>
        <v>#N/A</v>
      </c>
      <c r="J120" s="55" t="e">
        <f t="shared" si="55"/>
        <v>#N/A</v>
      </c>
      <c r="K120" s="55" t="e">
        <f t="shared" si="55"/>
        <v>#N/A</v>
      </c>
      <c r="L120" s="55" t="e">
        <f t="shared" si="55"/>
        <v>#N/A</v>
      </c>
      <c r="M120" s="55" t="e">
        <f t="shared" ref="M120:V120" si="60">(M109*$D$16+M98*$D$9+M87*$D$7+(M76-M87)*$D$8)/100000</f>
        <v>#N/A</v>
      </c>
      <c r="N120" s="55" t="e">
        <f t="shared" si="60"/>
        <v>#N/A</v>
      </c>
      <c r="O120" s="55" t="e">
        <f t="shared" si="60"/>
        <v>#N/A</v>
      </c>
      <c r="P120" s="55" t="e">
        <f t="shared" si="60"/>
        <v>#N/A</v>
      </c>
      <c r="Q120" s="55" t="e">
        <f t="shared" si="60"/>
        <v>#N/A</v>
      </c>
      <c r="R120" s="55" t="e">
        <f t="shared" si="60"/>
        <v>#N/A</v>
      </c>
      <c r="S120" s="55" t="e">
        <f t="shared" si="60"/>
        <v>#N/A</v>
      </c>
      <c r="T120" s="55" t="e">
        <f t="shared" si="60"/>
        <v>#N/A</v>
      </c>
      <c r="U120" s="55" t="e">
        <f t="shared" si="60"/>
        <v>#N/A</v>
      </c>
      <c r="V120" s="55" t="e">
        <f t="shared" si="60"/>
        <v>#N/A</v>
      </c>
    </row>
    <row r="121" spans="3:26" x14ac:dyDescent="0.3">
      <c r="C121" s="105" t="str">
        <f>$C$33</f>
        <v>Pill</v>
      </c>
      <c r="D121" s="55" t="e">
        <f t="shared" si="55"/>
        <v>#N/A</v>
      </c>
      <c r="E121" s="55" t="e">
        <f t="shared" si="55"/>
        <v>#N/A</v>
      </c>
      <c r="F121" s="55" t="e">
        <f t="shared" si="55"/>
        <v>#N/A</v>
      </c>
      <c r="G121" s="55" t="e">
        <f t="shared" si="55"/>
        <v>#N/A</v>
      </c>
      <c r="H121" s="55" t="e">
        <f t="shared" si="55"/>
        <v>#N/A</v>
      </c>
      <c r="I121" s="55" t="e">
        <f t="shared" si="55"/>
        <v>#N/A</v>
      </c>
      <c r="J121" s="55" t="e">
        <f t="shared" si="55"/>
        <v>#N/A</v>
      </c>
      <c r="K121" s="55" t="e">
        <f t="shared" si="55"/>
        <v>#N/A</v>
      </c>
      <c r="L121" s="55" t="e">
        <f t="shared" si="55"/>
        <v>#N/A</v>
      </c>
      <c r="M121" s="55" t="e">
        <f t="shared" ref="M121:V121" si="61">(M110*$D$16+M99*$D$9+M88*$D$7+(M77-M88)*$D$8)/100000</f>
        <v>#N/A</v>
      </c>
      <c r="N121" s="55" t="e">
        <f t="shared" si="61"/>
        <v>#N/A</v>
      </c>
      <c r="O121" s="55" t="e">
        <f t="shared" si="61"/>
        <v>#N/A</v>
      </c>
      <c r="P121" s="55" t="e">
        <f t="shared" si="61"/>
        <v>#N/A</v>
      </c>
      <c r="Q121" s="55" t="e">
        <f t="shared" si="61"/>
        <v>#N/A</v>
      </c>
      <c r="R121" s="55" t="e">
        <f t="shared" si="61"/>
        <v>#N/A</v>
      </c>
      <c r="S121" s="55" t="e">
        <f t="shared" si="61"/>
        <v>#N/A</v>
      </c>
      <c r="T121" s="55" t="e">
        <f t="shared" si="61"/>
        <v>#N/A</v>
      </c>
      <c r="U121" s="55" t="e">
        <f t="shared" si="61"/>
        <v>#N/A</v>
      </c>
      <c r="V121" s="55" t="e">
        <f t="shared" si="61"/>
        <v>#N/A</v>
      </c>
    </row>
    <row r="122" spans="3:26" x14ac:dyDescent="0.3">
      <c r="C122" s="105" t="str">
        <f>$C$34</f>
        <v>Male Condom</v>
      </c>
      <c r="D122" s="55" t="e">
        <f t="shared" si="55"/>
        <v>#N/A</v>
      </c>
      <c r="E122" s="55" t="e">
        <f t="shared" si="55"/>
        <v>#N/A</v>
      </c>
      <c r="F122" s="55" t="e">
        <f t="shared" si="55"/>
        <v>#N/A</v>
      </c>
      <c r="G122" s="55" t="e">
        <f t="shared" si="55"/>
        <v>#N/A</v>
      </c>
      <c r="H122" s="55" t="e">
        <f t="shared" si="55"/>
        <v>#N/A</v>
      </c>
      <c r="I122" s="55" t="e">
        <f t="shared" si="55"/>
        <v>#N/A</v>
      </c>
      <c r="J122" s="55" t="e">
        <f t="shared" si="55"/>
        <v>#N/A</v>
      </c>
      <c r="K122" s="55" t="e">
        <f t="shared" si="55"/>
        <v>#N/A</v>
      </c>
      <c r="L122" s="55" t="e">
        <f t="shared" si="55"/>
        <v>#N/A</v>
      </c>
      <c r="M122" s="55" t="e">
        <f t="shared" ref="M122:V122" si="62">(M111*$D$16+M100*$D$9+M89*$D$7+(M78-M89)*$D$8)/100000</f>
        <v>#N/A</v>
      </c>
      <c r="N122" s="55" t="e">
        <f t="shared" si="62"/>
        <v>#N/A</v>
      </c>
      <c r="O122" s="55" t="e">
        <f t="shared" si="62"/>
        <v>#N/A</v>
      </c>
      <c r="P122" s="55" t="e">
        <f t="shared" si="62"/>
        <v>#N/A</v>
      </c>
      <c r="Q122" s="55" t="e">
        <f t="shared" si="62"/>
        <v>#N/A</v>
      </c>
      <c r="R122" s="55" t="e">
        <f t="shared" si="62"/>
        <v>#N/A</v>
      </c>
      <c r="S122" s="55" t="e">
        <f t="shared" si="62"/>
        <v>#N/A</v>
      </c>
      <c r="T122" s="55" t="e">
        <f t="shared" si="62"/>
        <v>#N/A</v>
      </c>
      <c r="U122" s="55" t="e">
        <f t="shared" si="62"/>
        <v>#N/A</v>
      </c>
      <c r="V122" s="55" t="e">
        <f t="shared" si="62"/>
        <v>#N/A</v>
      </c>
    </row>
    <row r="123" spans="3:26" x14ac:dyDescent="0.3">
      <c r="C123" s="105" t="str">
        <f>$C$35</f>
        <v>LAM &amp; Other Modern Methods</v>
      </c>
      <c r="D123" s="55" t="e">
        <f t="shared" si="55"/>
        <v>#N/A</v>
      </c>
      <c r="E123" s="55" t="e">
        <f t="shared" si="55"/>
        <v>#N/A</v>
      </c>
      <c r="F123" s="55" t="e">
        <f t="shared" si="55"/>
        <v>#N/A</v>
      </c>
      <c r="G123" s="55" t="e">
        <f t="shared" si="55"/>
        <v>#N/A</v>
      </c>
      <c r="H123" s="55" t="e">
        <f t="shared" si="55"/>
        <v>#N/A</v>
      </c>
      <c r="I123" s="55" t="e">
        <f t="shared" si="55"/>
        <v>#N/A</v>
      </c>
      <c r="J123" s="55" t="e">
        <f t="shared" si="55"/>
        <v>#N/A</v>
      </c>
      <c r="K123" s="55" t="e">
        <f t="shared" si="55"/>
        <v>#N/A</v>
      </c>
      <c r="L123" s="55" t="e">
        <f t="shared" si="55"/>
        <v>#N/A</v>
      </c>
      <c r="M123" s="55" t="e">
        <f t="shared" ref="M123:V123" si="63">(M112*$D$16+M101*$D$9+M90*$D$7+(M79-M90)*$D$8)/100000</f>
        <v>#N/A</v>
      </c>
      <c r="N123" s="55" t="e">
        <f t="shared" si="63"/>
        <v>#N/A</v>
      </c>
      <c r="O123" s="55" t="e">
        <f t="shared" si="63"/>
        <v>#N/A</v>
      </c>
      <c r="P123" s="55" t="e">
        <f t="shared" si="63"/>
        <v>#N/A</v>
      </c>
      <c r="Q123" s="55" t="e">
        <f t="shared" si="63"/>
        <v>#N/A</v>
      </c>
      <c r="R123" s="55" t="e">
        <f t="shared" si="63"/>
        <v>#N/A</v>
      </c>
      <c r="S123" s="55" t="e">
        <f t="shared" si="63"/>
        <v>#N/A</v>
      </c>
      <c r="T123" s="55" t="e">
        <f t="shared" si="63"/>
        <v>#N/A</v>
      </c>
      <c r="U123" s="55" t="e">
        <f t="shared" si="63"/>
        <v>#N/A</v>
      </c>
      <c r="V123" s="55" t="e">
        <f t="shared" si="63"/>
        <v>#N/A</v>
      </c>
    </row>
    <row r="124" spans="3:26" s="829" customFormat="1" ht="22.2" customHeight="1" x14ac:dyDescent="0.3">
      <c r="C124" s="827" t="s">
        <v>7</v>
      </c>
      <c r="D124" s="828" t="e">
        <f>SUM(D116:D123)</f>
        <v>#N/A</v>
      </c>
      <c r="E124" s="828" t="e">
        <f t="shared" ref="E124:L124" si="64">SUM(E116:E123)</f>
        <v>#N/A</v>
      </c>
      <c r="F124" s="828" t="e">
        <f t="shared" si="64"/>
        <v>#N/A</v>
      </c>
      <c r="G124" s="828" t="e">
        <f t="shared" si="64"/>
        <v>#N/A</v>
      </c>
      <c r="H124" s="828" t="e">
        <f t="shared" si="64"/>
        <v>#N/A</v>
      </c>
      <c r="I124" s="828" t="e">
        <f t="shared" si="64"/>
        <v>#N/A</v>
      </c>
      <c r="J124" s="828" t="e">
        <f t="shared" si="64"/>
        <v>#N/A</v>
      </c>
      <c r="K124" s="828" t="e">
        <f t="shared" si="64"/>
        <v>#N/A</v>
      </c>
      <c r="L124" s="828" t="e">
        <f t="shared" si="64"/>
        <v>#N/A</v>
      </c>
      <c r="M124" s="828" t="e">
        <f t="shared" ref="M124:V124" si="65">SUM(M116:M123)</f>
        <v>#N/A</v>
      </c>
      <c r="N124" s="828" t="e">
        <f t="shared" si="65"/>
        <v>#N/A</v>
      </c>
      <c r="O124" s="828" t="e">
        <f t="shared" si="65"/>
        <v>#N/A</v>
      </c>
      <c r="P124" s="828" t="e">
        <f t="shared" si="65"/>
        <v>#N/A</v>
      </c>
      <c r="Q124" s="828" t="e">
        <f t="shared" si="65"/>
        <v>#N/A</v>
      </c>
      <c r="R124" s="828" t="e">
        <f t="shared" si="65"/>
        <v>#N/A</v>
      </c>
      <c r="S124" s="828" t="e">
        <f t="shared" si="65"/>
        <v>#N/A</v>
      </c>
      <c r="T124" s="828" t="e">
        <f t="shared" si="65"/>
        <v>#N/A</v>
      </c>
      <c r="U124" s="828" t="e">
        <f t="shared" si="65"/>
        <v>#N/A</v>
      </c>
      <c r="V124" s="828" t="e">
        <f t="shared" si="65"/>
        <v>#N/A</v>
      </c>
    </row>
    <row r="125" spans="3:26" x14ac:dyDescent="0.3">
      <c r="C125" s="106"/>
    </row>
    <row r="126" spans="3:26" x14ac:dyDescent="0.3">
      <c r="C126" s="106"/>
    </row>
    <row r="127" spans="3:26" x14ac:dyDescent="0.3">
      <c r="C127" s="106"/>
    </row>
    <row r="128" spans="3:26" x14ac:dyDescent="0.3">
      <c r="C128" s="106"/>
    </row>
    <row r="129" spans="3:7" x14ac:dyDescent="0.3">
      <c r="C129" s="106"/>
    </row>
    <row r="130" spans="3:7" x14ac:dyDescent="0.3">
      <c r="C130" s="106"/>
    </row>
    <row r="131" spans="3:7" x14ac:dyDescent="0.3">
      <c r="C131" s="106"/>
    </row>
    <row r="132" spans="3:7" hidden="1" x14ac:dyDescent="0.3">
      <c r="C132" s="1" t="s">
        <v>444</v>
      </c>
    </row>
    <row r="133" spans="3:7" hidden="1" x14ac:dyDescent="0.3">
      <c r="C133" s="1" t="s">
        <v>445</v>
      </c>
    </row>
    <row r="134" spans="3:7" hidden="1" x14ac:dyDescent="0.3">
      <c r="C134" s="1" t="s">
        <v>448</v>
      </c>
    </row>
    <row r="135" spans="3:7" hidden="1" x14ac:dyDescent="0.3">
      <c r="C135" s="1" t="s">
        <v>420</v>
      </c>
      <c r="G135" s="9" t="s">
        <v>492</v>
      </c>
    </row>
    <row r="136" spans="3:7" hidden="1" x14ac:dyDescent="0.3">
      <c r="C136" s="1" t="s">
        <v>454</v>
      </c>
    </row>
    <row r="137" spans="3:7" hidden="1" x14ac:dyDescent="0.3">
      <c r="C137" s="1" t="s">
        <v>456</v>
      </c>
    </row>
    <row r="138" spans="3:7" hidden="1" x14ac:dyDescent="0.3">
      <c r="C138" s="1" t="s">
        <v>493</v>
      </c>
    </row>
    <row r="139" spans="3:7" hidden="1" x14ac:dyDescent="0.3">
      <c r="C139" s="1" t="s">
        <v>410</v>
      </c>
    </row>
    <row r="140" spans="3:7" hidden="1" x14ac:dyDescent="0.3">
      <c r="C140" s="1" t="s">
        <v>471</v>
      </c>
    </row>
    <row r="141" spans="3:7" hidden="1" x14ac:dyDescent="0.3">
      <c r="C141" s="1" t="s">
        <v>9</v>
      </c>
    </row>
    <row r="143" spans="3:7" hidden="1" x14ac:dyDescent="0.3">
      <c r="C143" s="1" t="s">
        <v>236</v>
      </c>
    </row>
    <row r="144" spans="3:7" hidden="1" x14ac:dyDescent="0.3">
      <c r="C144" s="1" t="str">
        <f>'Abortion rates'!B2</f>
        <v>Percentage of unintended pregnancies terminated by abortion</v>
      </c>
    </row>
    <row r="145" spans="3:7" hidden="1" x14ac:dyDescent="0.3">
      <c r="C145" s="1" t="str">
        <f>'Abortion rates'!D2</f>
        <v>Percentage of abortions that are unsafe</v>
      </c>
    </row>
    <row r="146" spans="3:7" hidden="1" x14ac:dyDescent="0.3">
      <c r="C146" s="1" t="str">
        <f>'Abortion rates'!C2</f>
        <v>Mortality rate for unsafe abortions (per 100,000)</v>
      </c>
    </row>
    <row r="147" spans="3:7" hidden="1" x14ac:dyDescent="0.3">
      <c r="C147" s="1" t="s">
        <v>449</v>
      </c>
    </row>
    <row r="148" spans="3:7" hidden="1" x14ac:dyDescent="0.3">
      <c r="C148" s="1" t="s">
        <v>421</v>
      </c>
      <c r="G148" s="9" t="s">
        <v>494</v>
      </c>
    </row>
    <row r="149" spans="3:7" hidden="1" x14ac:dyDescent="0.3">
      <c r="C149" s="6" t="s">
        <v>455</v>
      </c>
    </row>
    <row r="150" spans="3:7" hidden="1" x14ac:dyDescent="0.3">
      <c r="C150" s="113" t="s">
        <v>418</v>
      </c>
    </row>
    <row r="151" spans="3:7" hidden="1" x14ac:dyDescent="0.3">
      <c r="C151" s="114" t="s">
        <v>419</v>
      </c>
    </row>
    <row r="152" spans="3:7" hidden="1" x14ac:dyDescent="0.3">
      <c r="C152" s="1" t="s">
        <v>411</v>
      </c>
    </row>
    <row r="153" spans="3:7" hidden="1" x14ac:dyDescent="0.3">
      <c r="C153" s="1" t="s">
        <v>472</v>
      </c>
    </row>
    <row r="154" spans="3:7" hidden="1" x14ac:dyDescent="0.3">
      <c r="C154" s="1" t="s">
        <v>473</v>
      </c>
    </row>
    <row r="156" spans="3:7" hidden="1" x14ac:dyDescent="0.3">
      <c r="C156" s="1" t="s">
        <v>458</v>
      </c>
    </row>
    <row r="157" spans="3:7" hidden="1" x14ac:dyDescent="0.3">
      <c r="C157" s="1" t="s">
        <v>464</v>
      </c>
    </row>
    <row r="159" spans="3:7" hidden="1" x14ac:dyDescent="0.3">
      <c r="C159" s="1" t="s">
        <v>459</v>
      </c>
    </row>
    <row r="160" spans="3:7" hidden="1" x14ac:dyDescent="0.3">
      <c r="C160" s="1" t="s">
        <v>465</v>
      </c>
    </row>
  </sheetData>
  <pageMargins left="0.7" right="0.7" top="0.75" bottom="0.75" header="0.3" footer="0.3"/>
  <pageSetup orientation="portrait" r:id="rId1"/>
  <ignoredErrors>
    <ignoredError sqref="D15:D1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7DCD91B8389F4BA7473DC6886A7297" ma:contentTypeVersion="7" ma:contentTypeDescription="Create a new document." ma:contentTypeScope="" ma:versionID="4d3ce19d226168417e362bb55be585b2">
  <xsd:schema xmlns:xsd="http://www.w3.org/2001/XMLSchema" xmlns:xs="http://www.w3.org/2001/XMLSchema" xmlns:p="http://schemas.microsoft.com/office/2006/metadata/properties" xmlns:ns2="1bf9f6c9-a5f9-4c49-ba4c-041e0db932b4" xmlns:ns3="b5666cef-a35c-4163-9b1b-6ae4e9763962" targetNamespace="http://schemas.microsoft.com/office/2006/metadata/properties" ma:root="true" ma:fieldsID="d4368121867b36de5c872caeca9b33b3" ns2:_="" ns3:_="">
    <xsd:import namespace="1bf9f6c9-a5f9-4c49-ba4c-041e0db932b4"/>
    <xsd:import namespace="b5666cef-a35c-4163-9b1b-6ae4e97639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9f6c9-a5f9-4c49-ba4c-041e0db932b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666cef-a35c-4163-9b1b-6ae4e976396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1C3CB4-8E85-42F4-A2D5-DFE76F0B09D4}">
  <ds:schemaRefs>
    <ds:schemaRef ds:uri="http://schemas.microsoft.com/sharepoint/v3/contenttype/forms"/>
  </ds:schemaRefs>
</ds:datastoreItem>
</file>

<file path=customXml/itemProps2.xml><?xml version="1.0" encoding="utf-8"?>
<ds:datastoreItem xmlns:ds="http://schemas.openxmlformats.org/officeDocument/2006/customXml" ds:itemID="{EA56601B-588A-487F-99D0-92C61BFFB668}">
  <ds:schemaRefs>
    <ds:schemaRef ds:uri="http://purl.org/dc/terms/"/>
    <ds:schemaRef ds:uri="http://purl.org/dc/dcmitype/"/>
    <ds:schemaRef ds:uri="http://schemas.microsoft.com/office/2006/documentManagement/types"/>
    <ds:schemaRef ds:uri="1bf9f6c9-a5f9-4c49-ba4c-041e0db932b4"/>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b5666cef-a35c-4163-9b1b-6ae4e9763962"/>
    <ds:schemaRef ds:uri="http://www.w3.org/XML/1998/namespace"/>
  </ds:schemaRefs>
</ds:datastoreItem>
</file>

<file path=customXml/itemProps3.xml><?xml version="1.0" encoding="utf-8"?>
<ds:datastoreItem xmlns:ds="http://schemas.openxmlformats.org/officeDocument/2006/customXml" ds:itemID="{7EBDABE0-3E42-44DF-AE41-A9286B091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f9f6c9-a5f9-4c49-ba4c-041e0db932b4"/>
    <ds:schemaRef ds:uri="b5666cef-a35c-4163-9b1b-6ae4e9763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Review FPET Inputs</vt:lpstr>
      <vt:lpstr>PASTE IN FPET RESULTS</vt:lpstr>
      <vt:lpstr>Assumption Review</vt:lpstr>
      <vt:lpstr>Additional Annual Indicators</vt:lpstr>
      <vt:lpstr>Indicator Calculations</vt:lpstr>
      <vt:lpstr>Enter your National Goal</vt:lpstr>
      <vt:lpstr>Annual Results</vt:lpstr>
      <vt:lpstr>Indicator 1-9_Results</vt:lpstr>
      <vt:lpstr>Impact Calculations</vt:lpstr>
      <vt:lpstr>Progress Brief</vt:lpstr>
      <vt:lpstr>Reviewing Confidence Interval</vt:lpstr>
      <vt:lpstr>WPP 2019</vt:lpstr>
      <vt:lpstr>WPP_Births 2019</vt:lpstr>
      <vt:lpstr>% Married 2020</vt:lpstr>
      <vt:lpstr>Abortion rates</vt:lpstr>
      <vt:lpstr>Pregnancy and failure rates</vt:lpstr>
      <vt:lpstr>Modern Method Mix 2020 Update</vt:lpstr>
      <vt:lpstr>DHS_planning status</vt:lpstr>
      <vt:lpstr>MMR 2017_WHO</vt:lpstr>
      <vt:lpstr>2019 Report Estimates</vt:lpstr>
      <vt:lpstr>Region List</vt:lpstr>
      <vt:lpstr>Country</vt:lpstr>
      <vt:lpstr>Language</vt:lpstr>
      <vt:lpstr>'Region List'!oceania</vt:lpstr>
      <vt:lpstr>'Annual Results'!Print_Area</vt:lpstr>
      <vt:lpstr>'Indicator 1-9_Results'!Print_Area</vt:lpstr>
      <vt:lpstr>'Progress Brief'!Print_Area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Stover</dc:creator>
  <cp:lastModifiedBy>Jessica Williamson</cp:lastModifiedBy>
  <cp:lastPrinted>2021-06-19T18:37:10Z</cp:lastPrinted>
  <dcterms:created xsi:type="dcterms:W3CDTF">2014-03-31T05:35:58Z</dcterms:created>
  <dcterms:modified xsi:type="dcterms:W3CDTF">2022-03-11T14:43:52Z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0x0101009F7DCD91B8389F4BA7473DC6886A7297</vt:lpwstr>
  </property>
</Properties>
</file>