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SeanVivier\proj\websites\Track20\www\download\xls\"/>
    </mc:Choice>
  </mc:AlternateContent>
  <xr:revisionPtr revIDLastSave="0" documentId="8_{893C79DA-68D8-4F1D-A980-8A0F2FE90AAC}" xr6:coauthVersionLast="45" xr6:coauthVersionMax="45" xr10:uidLastSave="{00000000-0000-0000-0000-000000000000}"/>
  <bookViews>
    <workbookView xWindow="28680" yWindow="-120" windowWidth="25440" windowHeight="15390" activeTab="5" xr2:uid="{37EAF485-9581-482D-8058-A2D072C471C4}"/>
  </bookViews>
  <sheets>
    <sheet name="Calculation Sheet" sheetId="7" r:id="rId1"/>
    <sheet name="Source Data" sheetId="6" r:id="rId2"/>
    <sheet name="mCPR - TPCM" sheetId="5" r:id="rId3"/>
    <sheet name="BNS - BS" sheetId="13" r:id="rId4"/>
    <sheet name="Users - Utilisateurs" sheetId="3" r:id="rId5"/>
    <sheet name="Impacts" sheetId="4" r:id="rId6"/>
    <sheet name="Country Handout (FR)" sheetId="10" r:id="rId7"/>
    <sheet name="Method Mix" sheetId="14" r:id="rId8"/>
    <sheet name="Additional Users Graphic" sheetId="15" r:id="rId9"/>
    <sheet name="OP Goals" sheetId="12" r:id="rId10"/>
    <sheet name="Country Achievement - Add Users" sheetId="16" r:id="rId11"/>
    <sheet name="French Country Names" sheetId="11" state="hidden" r:id="rId12"/>
  </sheets>
  <externalReferences>
    <externalReference r:id="rId13"/>
  </externalReferences>
  <definedNames>
    <definedName name="_xlnm._FilterDatabase" localSheetId="8" hidden="1">'Additional Users Graphic'!$C$20:$I$29</definedName>
    <definedName name="_xlnm._FilterDatabase" localSheetId="10" hidden="1">'Country Achievement - Add Users'!$A$2:$D$11</definedName>
    <definedName name="HTML_CodePage" hidden="1">1252</definedName>
    <definedName name="HTML_Control" localSheetId="5" hidden="1">{"'xls'!$A$71:$A$78","'xls'!$A$1:$J$77"}</definedName>
    <definedName name="HTML_Control" localSheetId="4" hidden="1">{"'xls'!$A$71:$A$78","'xls'!$A$1:$J$77"}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_xlnm.Print_Area" localSheetId="6">'Country Handout (FR)'!$A$1:$L$46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7" i="7" l="1"/>
  <c r="BI17" i="7"/>
  <c r="BJ17" i="7"/>
  <c r="BK17" i="7"/>
  <c r="BL17" i="7"/>
  <c r="BM17" i="7"/>
  <c r="BN17" i="7"/>
  <c r="BO17" i="7"/>
  <c r="BP17" i="7"/>
  <c r="BQ17" i="7"/>
  <c r="BH18" i="7"/>
  <c r="BI18" i="7"/>
  <c r="BJ18" i="7"/>
  <c r="BK18" i="7"/>
  <c r="BL18" i="7"/>
  <c r="BM18" i="7"/>
  <c r="BN18" i="7"/>
  <c r="BO18" i="7"/>
  <c r="BP18" i="7"/>
  <c r="BQ18" i="7"/>
  <c r="BH19" i="7"/>
  <c r="BI19" i="7"/>
  <c r="BJ19" i="7"/>
  <c r="BK19" i="7"/>
  <c r="BL19" i="7"/>
  <c r="BM19" i="7"/>
  <c r="BN19" i="7"/>
  <c r="BO19" i="7"/>
  <c r="BP19" i="7"/>
  <c r="BQ19" i="7"/>
  <c r="BH20" i="7"/>
  <c r="BI20" i="7"/>
  <c r="BJ20" i="7"/>
  <c r="BK20" i="7"/>
  <c r="BL20" i="7"/>
  <c r="BM20" i="7"/>
  <c r="BN20" i="7"/>
  <c r="BO20" i="7"/>
  <c r="BP20" i="7"/>
  <c r="BQ20" i="7"/>
  <c r="BH21" i="7"/>
  <c r="BI21" i="7"/>
  <c r="BJ21" i="7"/>
  <c r="BK21" i="7"/>
  <c r="BL21" i="7"/>
  <c r="BM21" i="7"/>
  <c r="BN21" i="7"/>
  <c r="BO21" i="7"/>
  <c r="BP21" i="7"/>
  <c r="BQ21" i="7"/>
  <c r="BH22" i="7"/>
  <c r="BI22" i="7"/>
  <c r="BJ22" i="7"/>
  <c r="BK22" i="7"/>
  <c r="BL22" i="7"/>
  <c r="BM22" i="7"/>
  <c r="BN22" i="7"/>
  <c r="BO22" i="7"/>
  <c r="BP22" i="7"/>
  <c r="BQ22" i="7"/>
  <c r="BH23" i="7"/>
  <c r="BI23" i="7"/>
  <c r="BJ23" i="7"/>
  <c r="BK23" i="7"/>
  <c r="BL23" i="7"/>
  <c r="BM23" i="7"/>
  <c r="BN23" i="7"/>
  <c r="BO23" i="7"/>
  <c r="BP23" i="7"/>
  <c r="BQ23" i="7"/>
  <c r="BH24" i="7"/>
  <c r="BI24" i="7"/>
  <c r="BJ24" i="7"/>
  <c r="BK24" i="7"/>
  <c r="BL24" i="7"/>
  <c r="BM24" i="7"/>
  <c r="BN24" i="7"/>
  <c r="BO24" i="7"/>
  <c r="BP24" i="7"/>
  <c r="BQ24" i="7"/>
  <c r="BH25" i="7"/>
  <c r="BI25" i="7"/>
  <c r="BJ25" i="7"/>
  <c r="BK25" i="7"/>
  <c r="BL25" i="7"/>
  <c r="BM25" i="7"/>
  <c r="BM26" i="7" s="1"/>
  <c r="BN25" i="7"/>
  <c r="BO25" i="7"/>
  <c r="BP25" i="7"/>
  <c r="BQ25" i="7"/>
  <c r="BH26" i="7"/>
  <c r="BI26" i="7"/>
  <c r="BJ26" i="7"/>
  <c r="BK26" i="7"/>
  <c r="BL26" i="7"/>
  <c r="BN26" i="7"/>
  <c r="BO26" i="7"/>
  <c r="BP26" i="7"/>
  <c r="BQ26" i="7"/>
  <c r="B44" i="10"/>
  <c r="B20" i="10"/>
  <c r="B22" i="10"/>
  <c r="T20" i="10" l="1"/>
  <c r="T19" i="10"/>
  <c r="T18" i="10"/>
  <c r="B14" i="16"/>
  <c r="ES18" i="7" l="1"/>
  <c r="ET18" i="7"/>
  <c r="EU18" i="7"/>
  <c r="EV18" i="7"/>
  <c r="EW18" i="7"/>
  <c r="EX18" i="7"/>
  <c r="EY18" i="7"/>
  <c r="EZ18" i="7"/>
  <c r="FA18" i="7"/>
  <c r="ES19" i="7"/>
  <c r="ET19" i="7"/>
  <c r="EU19" i="7"/>
  <c r="EV19" i="7"/>
  <c r="EW19" i="7"/>
  <c r="EX19" i="7"/>
  <c r="EY19" i="7"/>
  <c r="EZ19" i="7"/>
  <c r="FA19" i="7"/>
  <c r="ES20" i="7"/>
  <c r="ET20" i="7"/>
  <c r="EU20" i="7"/>
  <c r="EV20" i="7"/>
  <c r="EW20" i="7"/>
  <c r="EX20" i="7"/>
  <c r="EY20" i="7"/>
  <c r="EZ20" i="7"/>
  <c r="FA20" i="7"/>
  <c r="ES21" i="7"/>
  <c r="ET21" i="7"/>
  <c r="EU21" i="7"/>
  <c r="EV21" i="7"/>
  <c r="EW21" i="7"/>
  <c r="EX21" i="7"/>
  <c r="EY21" i="7"/>
  <c r="EZ21" i="7"/>
  <c r="FA21" i="7"/>
  <c r="ES22" i="7"/>
  <c r="ET22" i="7"/>
  <c r="EU22" i="7"/>
  <c r="EV22" i="7"/>
  <c r="EW22" i="7"/>
  <c r="EX22" i="7"/>
  <c r="EY22" i="7"/>
  <c r="EZ22" i="7"/>
  <c r="FA22" i="7"/>
  <c r="ES23" i="7"/>
  <c r="ET23" i="7"/>
  <c r="EU23" i="7"/>
  <c r="EV23" i="7"/>
  <c r="EW23" i="7"/>
  <c r="EX23" i="7"/>
  <c r="EY23" i="7"/>
  <c r="EZ23" i="7"/>
  <c r="FA23" i="7"/>
  <c r="ES24" i="7"/>
  <c r="ET24" i="7"/>
  <c r="EU24" i="7"/>
  <c r="EV24" i="7"/>
  <c r="EW24" i="7"/>
  <c r="EX24" i="7"/>
  <c r="EY24" i="7"/>
  <c r="EZ24" i="7"/>
  <c r="FA24" i="7"/>
  <c r="ES25" i="7"/>
  <c r="ET25" i="7"/>
  <c r="EU25" i="7"/>
  <c r="EV25" i="7"/>
  <c r="EW25" i="7"/>
  <c r="EX25" i="7"/>
  <c r="EY25" i="7"/>
  <c r="EZ25" i="7"/>
  <c r="FA25" i="7"/>
  <c r="ES17" i="7"/>
  <c r="ET17" i="7"/>
  <c r="EU17" i="7"/>
  <c r="EV17" i="7"/>
  <c r="EW17" i="7"/>
  <c r="EX17" i="7"/>
  <c r="EY17" i="7"/>
  <c r="EZ17" i="7"/>
  <c r="FA17" i="7"/>
  <c r="FC17" i="7" l="1"/>
  <c r="FD17" i="7"/>
  <c r="FE17" i="7"/>
  <c r="FF17" i="7"/>
  <c r="FG17" i="7"/>
  <c r="FH17" i="7"/>
  <c r="FI17" i="7"/>
  <c r="FJ17" i="7"/>
  <c r="FK17" i="7"/>
  <c r="FC18" i="7"/>
  <c r="FD18" i="7"/>
  <c r="FE18" i="7"/>
  <c r="FF18" i="7"/>
  <c r="FG18" i="7"/>
  <c r="FH18" i="7"/>
  <c r="FI18" i="7"/>
  <c r="FJ18" i="7"/>
  <c r="FK18" i="7"/>
  <c r="FC19" i="7"/>
  <c r="FD19" i="7"/>
  <c r="FE19" i="7"/>
  <c r="FF19" i="7"/>
  <c r="FG19" i="7"/>
  <c r="FH19" i="7"/>
  <c r="FI19" i="7"/>
  <c r="FJ19" i="7"/>
  <c r="FK19" i="7"/>
  <c r="FC20" i="7"/>
  <c r="FD20" i="7"/>
  <c r="FE20" i="7"/>
  <c r="FF20" i="7"/>
  <c r="FG20" i="7"/>
  <c r="FH20" i="7"/>
  <c r="FI20" i="7"/>
  <c r="FJ20" i="7"/>
  <c r="FK20" i="7"/>
  <c r="FK26" i="7" s="1"/>
  <c r="FC21" i="7"/>
  <c r="FD21" i="7"/>
  <c r="FE21" i="7"/>
  <c r="FF21" i="7"/>
  <c r="FG21" i="7"/>
  <c r="FH21" i="7"/>
  <c r="FI21" i="7"/>
  <c r="FJ21" i="7"/>
  <c r="FK21" i="7"/>
  <c r="FC22" i="7"/>
  <c r="FD22" i="7"/>
  <c r="FE22" i="7"/>
  <c r="FF22" i="7"/>
  <c r="FG22" i="7"/>
  <c r="FH22" i="7"/>
  <c r="FI22" i="7"/>
  <c r="FJ22" i="7"/>
  <c r="FK22" i="7"/>
  <c r="FC23" i="7"/>
  <c r="FD23" i="7"/>
  <c r="FE23" i="7"/>
  <c r="FF23" i="7"/>
  <c r="FG23" i="7"/>
  <c r="FH23" i="7"/>
  <c r="FI23" i="7"/>
  <c r="FJ23" i="7"/>
  <c r="FK23" i="7"/>
  <c r="FC24" i="7"/>
  <c r="FD24" i="7"/>
  <c r="FE24" i="7"/>
  <c r="FF24" i="7"/>
  <c r="FG24" i="7"/>
  <c r="FH24" i="7"/>
  <c r="FI24" i="7"/>
  <c r="FJ24" i="7"/>
  <c r="FK24" i="7"/>
  <c r="FC25" i="7"/>
  <c r="FD25" i="7"/>
  <c r="FE25" i="7"/>
  <c r="FF25" i="7"/>
  <c r="FG25" i="7"/>
  <c r="FH25" i="7"/>
  <c r="FI25" i="7"/>
  <c r="FJ25" i="7"/>
  <c r="FK25" i="7"/>
  <c r="FA26" i="7"/>
  <c r="EQ17" i="7"/>
  <c r="EQ18" i="7"/>
  <c r="EQ19" i="7"/>
  <c r="EQ20" i="7"/>
  <c r="EQ21" i="7"/>
  <c r="EQ22" i="7"/>
  <c r="EQ23" i="7"/>
  <c r="EQ24" i="7"/>
  <c r="EQ25" i="7"/>
  <c r="EQ26" i="7" l="1"/>
  <c r="AB7" i="7"/>
  <c r="AB14" i="7" l="1"/>
  <c r="AB13" i="7" l="1"/>
  <c r="AB6" i="7" l="1"/>
  <c r="L41" i="4" l="1"/>
  <c r="L27" i="4"/>
  <c r="B40" i="4"/>
  <c r="B39" i="4"/>
  <c r="B38" i="4"/>
  <c r="B37" i="4"/>
  <c r="B36" i="4"/>
  <c r="B35" i="4"/>
  <c r="B34" i="4"/>
  <c r="B33" i="4"/>
  <c r="B32" i="4"/>
  <c r="B26" i="4"/>
  <c r="B25" i="4"/>
  <c r="B24" i="4"/>
  <c r="B23" i="4"/>
  <c r="B22" i="4"/>
  <c r="B21" i="4"/>
  <c r="B20" i="4"/>
  <c r="B19" i="4"/>
  <c r="B18" i="4"/>
  <c r="B5" i="4"/>
  <c r="B6" i="4"/>
  <c r="B7" i="4"/>
  <c r="B8" i="4"/>
  <c r="B9" i="4"/>
  <c r="B10" i="4"/>
  <c r="B11" i="4"/>
  <c r="B12" i="4"/>
  <c r="B4" i="4"/>
  <c r="L13" i="4"/>
  <c r="D5" i="16" l="1"/>
  <c r="D3" i="16"/>
  <c r="D7" i="16"/>
  <c r="D9" i="16"/>
  <c r="D6" i="16"/>
  <c r="D8" i="16"/>
  <c r="D4" i="16"/>
  <c r="D10" i="16"/>
  <c r="D11" i="16"/>
  <c r="D27" i="14"/>
  <c r="D28" i="14"/>
  <c r="D29" i="14"/>
  <c r="D30" i="14"/>
  <c r="D31" i="14"/>
  <c r="D32" i="14"/>
  <c r="D33" i="14"/>
  <c r="D34" i="14"/>
  <c r="D26" i="14"/>
  <c r="U25" i="10" l="1"/>
  <c r="C27" i="4"/>
  <c r="EI17" i="7" l="1"/>
  <c r="EJ17" i="7"/>
  <c r="EK17" i="7"/>
  <c r="EL17" i="7"/>
  <c r="EM17" i="7"/>
  <c r="EN17" i="7"/>
  <c r="EO17" i="7"/>
  <c r="EP17" i="7"/>
  <c r="EI18" i="7"/>
  <c r="EJ18" i="7"/>
  <c r="EK18" i="7"/>
  <c r="EL18" i="7"/>
  <c r="EM18" i="7"/>
  <c r="EN18" i="7"/>
  <c r="EO18" i="7"/>
  <c r="EP18" i="7"/>
  <c r="EI19" i="7"/>
  <c r="EJ19" i="7"/>
  <c r="EK19" i="7"/>
  <c r="EL19" i="7"/>
  <c r="EM19" i="7"/>
  <c r="EN19" i="7"/>
  <c r="EO19" i="7"/>
  <c r="EP19" i="7"/>
  <c r="EI20" i="7"/>
  <c r="EJ20" i="7"/>
  <c r="EK20" i="7"/>
  <c r="EL20" i="7"/>
  <c r="EM20" i="7"/>
  <c r="EN20" i="7"/>
  <c r="EO20" i="7"/>
  <c r="EP20" i="7"/>
  <c r="EI21" i="7"/>
  <c r="EJ21" i="7"/>
  <c r="EK21" i="7"/>
  <c r="EL21" i="7"/>
  <c r="EM21" i="7"/>
  <c r="EN21" i="7"/>
  <c r="EO21" i="7"/>
  <c r="EP21" i="7"/>
  <c r="EI22" i="7"/>
  <c r="EJ22" i="7"/>
  <c r="EK22" i="7"/>
  <c r="EL22" i="7"/>
  <c r="EM22" i="7"/>
  <c r="EN22" i="7"/>
  <c r="EO22" i="7"/>
  <c r="EP22" i="7"/>
  <c r="EI23" i="7"/>
  <c r="EJ23" i="7"/>
  <c r="EK23" i="7"/>
  <c r="EL23" i="7"/>
  <c r="EM23" i="7"/>
  <c r="EN23" i="7"/>
  <c r="EO23" i="7"/>
  <c r="EP23" i="7"/>
  <c r="EI24" i="7"/>
  <c r="EJ24" i="7"/>
  <c r="EK24" i="7"/>
  <c r="EL24" i="7"/>
  <c r="EM24" i="7"/>
  <c r="EN24" i="7"/>
  <c r="EO24" i="7"/>
  <c r="EP24" i="7"/>
  <c r="EI25" i="7"/>
  <c r="EJ25" i="7"/>
  <c r="EK25" i="7"/>
  <c r="EL25" i="7"/>
  <c r="EM25" i="7"/>
  <c r="EN25" i="7"/>
  <c r="EO25" i="7"/>
  <c r="EP25" i="7"/>
  <c r="EP26" i="7" l="1"/>
  <c r="EL26" i="7"/>
  <c r="EY26" i="7"/>
  <c r="EU26" i="7"/>
  <c r="EX26" i="7"/>
  <c r="ET26" i="7"/>
  <c r="FG26" i="7"/>
  <c r="FC26" i="7"/>
  <c r="EK26" i="7"/>
  <c r="EN26" i="7"/>
  <c r="EJ26" i="7"/>
  <c r="FJ26" i="7"/>
  <c r="FF26" i="7"/>
  <c r="EM26" i="7"/>
  <c r="EI26" i="7"/>
  <c r="EW26" i="7"/>
  <c r="ES26" i="7"/>
  <c r="FI26" i="7"/>
  <c r="FE26" i="7"/>
  <c r="EO26" i="7"/>
  <c r="EV26" i="7"/>
  <c r="EZ26" i="7"/>
  <c r="FH26" i="7"/>
  <c r="FD26" i="7"/>
  <c r="F32" i="15"/>
  <c r="F33" i="15" s="1"/>
  <c r="G32" i="15"/>
  <c r="G33" i="15" s="1"/>
  <c r="H32" i="15"/>
  <c r="H33" i="15" s="1"/>
  <c r="I32" i="15"/>
  <c r="I33" i="15" s="1"/>
  <c r="E32" i="15"/>
  <c r="E33" i="15" s="1"/>
  <c r="E12" i="15"/>
  <c r="F12" i="15"/>
  <c r="G12" i="15"/>
  <c r="H12" i="15"/>
  <c r="D12" i="15"/>
  <c r="E7" i="15"/>
  <c r="H7" i="15" s="1"/>
  <c r="K26" i="10"/>
  <c r="K24" i="10"/>
  <c r="K22" i="10"/>
  <c r="K20" i="10"/>
  <c r="C22" i="10"/>
  <c r="D22" i="10"/>
  <c r="E22" i="10"/>
  <c r="F22" i="10"/>
  <c r="G22" i="10"/>
  <c r="H22" i="10"/>
  <c r="I22" i="10"/>
  <c r="J22" i="10"/>
  <c r="T27" i="10"/>
  <c r="T28" i="10"/>
  <c r="T29" i="10"/>
  <c r="T30" i="10"/>
  <c r="T31" i="10"/>
  <c r="T32" i="10"/>
  <c r="T33" i="10"/>
  <c r="T34" i="10"/>
  <c r="T26" i="10"/>
  <c r="J40" i="10"/>
  <c r="H40" i="10"/>
  <c r="H36" i="10"/>
  <c r="C26" i="10"/>
  <c r="D26" i="10"/>
  <c r="E26" i="10"/>
  <c r="F26" i="10"/>
  <c r="G26" i="10"/>
  <c r="H26" i="10"/>
  <c r="I26" i="10"/>
  <c r="J26" i="10"/>
  <c r="B26" i="10"/>
  <c r="C24" i="10"/>
  <c r="D24" i="10"/>
  <c r="E24" i="10"/>
  <c r="F24" i="10"/>
  <c r="G24" i="10"/>
  <c r="H24" i="10"/>
  <c r="I24" i="10"/>
  <c r="J24" i="10"/>
  <c r="B24" i="10"/>
  <c r="G7" i="15" l="1"/>
  <c r="F7" i="15"/>
  <c r="F8" i="15" s="1"/>
  <c r="I7" i="15"/>
  <c r="I8" i="15" l="1"/>
  <c r="G8" i="15"/>
  <c r="G9" i="15" s="1"/>
  <c r="H8" i="15"/>
  <c r="I9" i="15" l="1"/>
  <c r="H9" i="15"/>
  <c r="H10" i="15"/>
  <c r="I10" i="15" s="1"/>
  <c r="I11" i="15" l="1"/>
  <c r="AC15" i="10"/>
  <c r="Z15" i="10" s="1"/>
  <c r="X10" i="10"/>
  <c r="Y15" i="10" l="1"/>
  <c r="AB15" i="10"/>
  <c r="X15" i="10"/>
  <c r="AA15" i="10"/>
  <c r="ET15" i="7"/>
  <c r="EU15" i="7"/>
  <c r="EV15" i="7"/>
  <c r="EW15" i="7"/>
  <c r="EX15" i="7"/>
  <c r="EY15" i="7"/>
  <c r="EZ15" i="7"/>
  <c r="FC15" i="7"/>
  <c r="FD15" i="7"/>
  <c r="FE15" i="7"/>
  <c r="FF15" i="7"/>
  <c r="FG15" i="7"/>
  <c r="FH15" i="7"/>
  <c r="FI15" i="7"/>
  <c r="FJ15" i="7"/>
  <c r="C20" i="10" l="1"/>
  <c r="D20" i="10"/>
  <c r="E20" i="10"/>
  <c r="F20" i="10"/>
  <c r="G20" i="10"/>
  <c r="H20" i="10"/>
  <c r="I20" i="10"/>
  <c r="J20" i="10"/>
  <c r="B1" i="10"/>
  <c r="U34" i="10" l="1"/>
  <c r="U33" i="10"/>
  <c r="U32" i="10"/>
  <c r="U31" i="10"/>
  <c r="U30" i="10"/>
  <c r="U29" i="10"/>
  <c r="U28" i="10"/>
  <c r="U27" i="10"/>
  <c r="U26" i="10"/>
  <c r="K29" i="10" l="1"/>
  <c r="ES15" i="7"/>
  <c r="EP15" i="7"/>
  <c r="EO15" i="7"/>
  <c r="EN15" i="7"/>
  <c r="EM15" i="7"/>
  <c r="EL15" i="7"/>
  <c r="EK15" i="7"/>
  <c r="EJ15" i="7"/>
  <c r="EI15" i="7"/>
  <c r="C41" i="4"/>
  <c r="F41" i="4"/>
  <c r="E41" i="4"/>
  <c r="K41" i="4"/>
  <c r="J27" i="4"/>
  <c r="D27" i="4"/>
  <c r="G27" i="4"/>
  <c r="C13" i="4"/>
  <c r="D13" i="4"/>
  <c r="H13" i="4"/>
  <c r="G13" i="4"/>
  <c r="K13" i="4"/>
  <c r="H41" i="4"/>
  <c r="F27" i="4"/>
  <c r="I13" i="4"/>
  <c r="E13" i="4"/>
  <c r="D41" i="4" l="1"/>
  <c r="I41" i="4"/>
  <c r="J41" i="4"/>
  <c r="G41" i="4"/>
  <c r="H27" i="4"/>
  <c r="B27" i="4"/>
  <c r="I27" i="4"/>
  <c r="E27" i="4"/>
  <c r="K27" i="4"/>
  <c r="F13" i="4"/>
  <c r="J13" i="4"/>
  <c r="B41" i="4"/>
  <c r="B13" i="4" l="1"/>
  <c r="L14" i="3" l="1"/>
  <c r="AY15" i="7" l="1"/>
  <c r="AZ15" i="7"/>
  <c r="BA15" i="7"/>
  <c r="BB15" i="7"/>
  <c r="BC15" i="7"/>
  <c r="BD15" i="7"/>
  <c r="BE15" i="7"/>
  <c r="BF15" i="7"/>
  <c r="BG15" i="7"/>
  <c r="BR15" i="7"/>
  <c r="CB15" i="7"/>
  <c r="CC15" i="7"/>
  <c r="CD15" i="7"/>
  <c r="CE15" i="7"/>
  <c r="CF15" i="7"/>
  <c r="AX15" i="7"/>
  <c r="AN12" i="7" l="1"/>
  <c r="BH12" i="7" s="1"/>
  <c r="AB10" i="7"/>
  <c r="AC10" i="7" s="1"/>
  <c r="AN10" i="7" s="1"/>
  <c r="BH10" i="7" s="1"/>
  <c r="AB9" i="7"/>
  <c r="AC9" i="7" s="1"/>
  <c r="AN9" i="7" s="1"/>
  <c r="BH9" i="7" s="1"/>
  <c r="K14" i="7" l="1"/>
  <c r="K13" i="7"/>
  <c r="AW12" i="7"/>
  <c r="AV12" i="7"/>
  <c r="AU12" i="7"/>
  <c r="AT12" i="7"/>
  <c r="AS12" i="7"/>
  <c r="AR12" i="7"/>
  <c r="AQ12" i="7"/>
  <c r="AP12" i="7"/>
  <c r="AO12" i="7"/>
  <c r="AB12" i="7"/>
  <c r="K12" i="7"/>
  <c r="AB11" i="7"/>
  <c r="K11" i="7"/>
  <c r="AL10" i="7"/>
  <c r="AW10" i="7" s="1"/>
  <c r="BQ10" i="7" s="1"/>
  <c r="K10" i="7"/>
  <c r="AI9" i="7"/>
  <c r="AT9" i="7" s="1"/>
  <c r="BN9" i="7" s="1"/>
  <c r="K9" i="7"/>
  <c r="AB8" i="7"/>
  <c r="K8" i="7"/>
  <c r="K7" i="7"/>
  <c r="K6" i="7"/>
  <c r="H1" i="7"/>
  <c r="BJ12" i="7" l="1"/>
  <c r="BK12" i="7"/>
  <c r="BO12" i="7"/>
  <c r="BM12" i="7"/>
  <c r="BL12" i="7"/>
  <c r="BN12" i="7"/>
  <c r="BQ12" i="7"/>
  <c r="CA12" i="7" s="1"/>
  <c r="BI12" i="7"/>
  <c r="O11" i="3"/>
  <c r="N11" i="3"/>
  <c r="M11" i="3"/>
  <c r="BU12" i="7"/>
  <c r="AK7" i="7"/>
  <c r="AV7" i="7" s="1"/>
  <c r="AC7" i="7"/>
  <c r="AN7" i="7" s="1"/>
  <c r="BH7" i="7" s="1"/>
  <c r="AJ8" i="7"/>
  <c r="AU8" i="7" s="1"/>
  <c r="BO8" i="7" s="1"/>
  <c r="AC8" i="7"/>
  <c r="AN8" i="7" s="1"/>
  <c r="BH8" i="7" s="1"/>
  <c r="BX9" i="7"/>
  <c r="CA10" i="7"/>
  <c r="AK11" i="7"/>
  <c r="AV11" i="7" s="1"/>
  <c r="AC11" i="7"/>
  <c r="AN11" i="7" s="1"/>
  <c r="BH11" i="7" s="1"/>
  <c r="BP12" i="7"/>
  <c r="AJ13" i="7"/>
  <c r="AU13" i="7" s="1"/>
  <c r="BO13" i="7" s="1"/>
  <c r="AC13" i="7"/>
  <c r="AN13" i="7" s="1"/>
  <c r="BH13" i="7" s="1"/>
  <c r="AI14" i="7"/>
  <c r="AT14" i="7" s="1"/>
  <c r="BN14" i="7" s="1"/>
  <c r="AC14" i="7"/>
  <c r="AN14" i="7" s="1"/>
  <c r="BH14" i="7" s="1"/>
  <c r="AL6" i="7"/>
  <c r="AW6" i="7" s="1"/>
  <c r="BQ6" i="7" s="1"/>
  <c r="AC6" i="7"/>
  <c r="AN6" i="7" s="1"/>
  <c r="BH6" i="7" s="1"/>
  <c r="BT12" i="7"/>
  <c r="AJ14" i="7"/>
  <c r="AU14" i="7" s="1"/>
  <c r="BO14" i="7" s="1"/>
  <c r="AJ9" i="7"/>
  <c r="AU9" i="7" s="1"/>
  <c r="BO9" i="7" s="1"/>
  <c r="AD7" i="7"/>
  <c r="AO7" i="7" s="1"/>
  <c r="BI7" i="7" s="1"/>
  <c r="AD11" i="7"/>
  <c r="AO11" i="7" s="1"/>
  <c r="AH7" i="7"/>
  <c r="AS7" i="7" s="1"/>
  <c r="BM7" i="7" s="1"/>
  <c r="AL11" i="7"/>
  <c r="AW11" i="7" s="1"/>
  <c r="AI6" i="7"/>
  <c r="AT6" i="7" s="1"/>
  <c r="BN6" i="7" s="1"/>
  <c r="AL7" i="7"/>
  <c r="AW7" i="7" s="1"/>
  <c r="BQ7" i="7" s="1"/>
  <c r="AJ7" i="7"/>
  <c r="AU7" i="7" s="1"/>
  <c r="BO7" i="7" s="1"/>
  <c r="AD9" i="7"/>
  <c r="AO9" i="7" s="1"/>
  <c r="BI9" i="7" s="1"/>
  <c r="AL9" i="7"/>
  <c r="AW9" i="7" s="1"/>
  <c r="BQ9" i="7" s="1"/>
  <c r="AF11" i="7"/>
  <c r="AQ11" i="7" s="1"/>
  <c r="AF9" i="7"/>
  <c r="AQ9" i="7" s="1"/>
  <c r="BK9" i="7" s="1"/>
  <c r="AH11" i="7"/>
  <c r="AS11" i="7" s="1"/>
  <c r="AE6" i="7"/>
  <c r="AP6" i="7" s="1"/>
  <c r="BJ6" i="7" s="1"/>
  <c r="AF7" i="7"/>
  <c r="AQ7" i="7" s="1"/>
  <c r="BK7" i="7" s="1"/>
  <c r="AH9" i="7"/>
  <c r="AS9" i="7" s="1"/>
  <c r="BM9" i="7" s="1"/>
  <c r="AJ11" i="7"/>
  <c r="AU11" i="7" s="1"/>
  <c r="AF14" i="7"/>
  <c r="AQ14" i="7" s="1"/>
  <c r="BK14" i="7" s="1"/>
  <c r="AG8" i="7"/>
  <c r="AR8" i="7" s="1"/>
  <c r="BL8" i="7" s="1"/>
  <c r="AK8" i="7"/>
  <c r="AV8" i="7" s="1"/>
  <c r="AE10" i="7"/>
  <c r="AP10" i="7" s="1"/>
  <c r="BJ10" i="7" s="1"/>
  <c r="AI10" i="7"/>
  <c r="AT10" i="7" s="1"/>
  <c r="BN10" i="7" s="1"/>
  <c r="AG13" i="7"/>
  <c r="AR13" i="7" s="1"/>
  <c r="BL13" i="7" s="1"/>
  <c r="AK13" i="7"/>
  <c r="AV13" i="7" s="1"/>
  <c r="AF6" i="7"/>
  <c r="AQ6" i="7" s="1"/>
  <c r="BK6" i="7" s="1"/>
  <c r="AJ6" i="7"/>
  <c r="AU6" i="7" s="1"/>
  <c r="BO6" i="7" s="1"/>
  <c r="AE7" i="7"/>
  <c r="AP7" i="7" s="1"/>
  <c r="BJ7" i="7" s="1"/>
  <c r="AI7" i="7"/>
  <c r="AT7" i="7" s="1"/>
  <c r="BN7" i="7" s="1"/>
  <c r="AD8" i="7"/>
  <c r="AO8" i="7" s="1"/>
  <c r="BI8" i="7" s="1"/>
  <c r="AH8" i="7"/>
  <c r="AS8" i="7" s="1"/>
  <c r="BM8" i="7" s="1"/>
  <c r="AL8" i="7"/>
  <c r="AW8" i="7" s="1"/>
  <c r="BQ8" i="7" s="1"/>
  <c r="AG9" i="7"/>
  <c r="AR9" i="7" s="1"/>
  <c r="BL9" i="7" s="1"/>
  <c r="AK9" i="7"/>
  <c r="AV9" i="7" s="1"/>
  <c r="AF10" i="7"/>
  <c r="AQ10" i="7" s="1"/>
  <c r="BK10" i="7" s="1"/>
  <c r="AJ10" i="7"/>
  <c r="AU10" i="7" s="1"/>
  <c r="BO10" i="7" s="1"/>
  <c r="AE11" i="7"/>
  <c r="AP11" i="7" s="1"/>
  <c r="AI11" i="7"/>
  <c r="AT11" i="7" s="1"/>
  <c r="AD13" i="7"/>
  <c r="AO13" i="7" s="1"/>
  <c r="BI13" i="7" s="1"/>
  <c r="AH13" i="7"/>
  <c r="AS13" i="7" s="1"/>
  <c r="BM13" i="7" s="1"/>
  <c r="AL13" i="7"/>
  <c r="AW13" i="7" s="1"/>
  <c r="BQ13" i="7" s="1"/>
  <c r="AG14" i="7"/>
  <c r="AR14" i="7" s="1"/>
  <c r="BL14" i="7" s="1"/>
  <c r="AK14" i="7"/>
  <c r="AV14" i="7" s="1"/>
  <c r="AG6" i="7"/>
  <c r="AR6" i="7" s="1"/>
  <c r="BL6" i="7" s="1"/>
  <c r="AK6" i="7"/>
  <c r="AV6" i="7" s="1"/>
  <c r="AE8" i="7"/>
  <c r="AP8" i="7" s="1"/>
  <c r="BJ8" i="7" s="1"/>
  <c r="AI8" i="7"/>
  <c r="AT8" i="7" s="1"/>
  <c r="BN8" i="7" s="1"/>
  <c r="AG10" i="7"/>
  <c r="AR10" i="7" s="1"/>
  <c r="BL10" i="7" s="1"/>
  <c r="AK10" i="7"/>
  <c r="AV10" i="7" s="1"/>
  <c r="AE13" i="7"/>
  <c r="AP13" i="7" s="1"/>
  <c r="BJ13" i="7" s="1"/>
  <c r="AI13" i="7"/>
  <c r="AT13" i="7" s="1"/>
  <c r="BN13" i="7" s="1"/>
  <c r="AD14" i="7"/>
  <c r="AO14" i="7" s="1"/>
  <c r="BI14" i="7" s="1"/>
  <c r="AH14" i="7"/>
  <c r="AS14" i="7" s="1"/>
  <c r="BM14" i="7" s="1"/>
  <c r="AL14" i="7"/>
  <c r="AW14" i="7" s="1"/>
  <c r="BQ14" i="7" s="1"/>
  <c r="AD6" i="7"/>
  <c r="AH6" i="7"/>
  <c r="AS6" i="7" s="1"/>
  <c r="BM6" i="7" s="1"/>
  <c r="AG7" i="7"/>
  <c r="AR7" i="7" s="1"/>
  <c r="BL7" i="7" s="1"/>
  <c r="AF8" i="7"/>
  <c r="AQ8" i="7" s="1"/>
  <c r="BK8" i="7" s="1"/>
  <c r="AE9" i="7"/>
  <c r="AP9" i="7" s="1"/>
  <c r="BJ9" i="7" s="1"/>
  <c r="AD10" i="7"/>
  <c r="AO10" i="7" s="1"/>
  <c r="BI10" i="7" s="1"/>
  <c r="AH10" i="7"/>
  <c r="AS10" i="7" s="1"/>
  <c r="BM10" i="7" s="1"/>
  <c r="AG11" i="7"/>
  <c r="AR11" i="7" s="1"/>
  <c r="AF13" i="7"/>
  <c r="AQ13" i="7" s="1"/>
  <c r="BK13" i="7" s="1"/>
  <c r="AE14" i="7"/>
  <c r="AP14" i="7" s="1"/>
  <c r="BJ14" i="7" s="1"/>
  <c r="CK10" i="7" l="1"/>
  <c r="CH9" i="7"/>
  <c r="EH12" i="7"/>
  <c r="FB12" i="7"/>
  <c r="FB23" i="7" s="1"/>
  <c r="ER12" i="7"/>
  <c r="ER23" i="7" s="1"/>
  <c r="ER8" i="7"/>
  <c r="ER19" i="7" s="1"/>
  <c r="EH8" i="7"/>
  <c r="FB8" i="7"/>
  <c r="FB19" i="7" s="1"/>
  <c r="EH10" i="7"/>
  <c r="ER10" i="7"/>
  <c r="ER21" i="7" s="1"/>
  <c r="FB10" i="7"/>
  <c r="FB21" i="7" s="1"/>
  <c r="FB14" i="7"/>
  <c r="FB25" i="7" s="1"/>
  <c r="EH14" i="7"/>
  <c r="ER14" i="7"/>
  <c r="ER25" i="7" s="1"/>
  <c r="BS12" i="7"/>
  <c r="EH9" i="7"/>
  <c r="EH20" i="7" s="1"/>
  <c r="ER9" i="7"/>
  <c r="ER20" i="7" s="1"/>
  <c r="FB9" i="7"/>
  <c r="FB20" i="7" s="1"/>
  <c r="FB13" i="7"/>
  <c r="FB24" i="7" s="1"/>
  <c r="EH13" i="7"/>
  <c r="ER13" i="7"/>
  <c r="ER24" i="7" s="1"/>
  <c r="ER7" i="7"/>
  <c r="ER18" i="7" s="1"/>
  <c r="FB7" i="7"/>
  <c r="FB18" i="7" s="1"/>
  <c r="EH7" i="7"/>
  <c r="EH18" i="7" s="1"/>
  <c r="BY12" i="7"/>
  <c r="BV12" i="7"/>
  <c r="EH23" i="7"/>
  <c r="CK12" i="7"/>
  <c r="P11" i="3"/>
  <c r="CG12" i="7"/>
  <c r="CH12" i="7"/>
  <c r="BW12" i="7"/>
  <c r="BX12" i="7"/>
  <c r="CI12" i="7"/>
  <c r="U11" i="3"/>
  <c r="BK11" i="7"/>
  <c r="BU11" i="7" s="1"/>
  <c r="BQ11" i="7"/>
  <c r="BO11" i="7"/>
  <c r="BI11" i="7"/>
  <c r="BN11" i="7"/>
  <c r="BM11" i="7"/>
  <c r="BL11" i="7"/>
  <c r="CI11" i="7" s="1"/>
  <c r="BJ11" i="7"/>
  <c r="BJ15" i="7" s="1"/>
  <c r="AP15" i="7" s="1"/>
  <c r="M6" i="3"/>
  <c r="P6" i="3"/>
  <c r="O6" i="3"/>
  <c r="EH25" i="7"/>
  <c r="EH24" i="7"/>
  <c r="EH21" i="7"/>
  <c r="EH19" i="7"/>
  <c r="O12" i="3"/>
  <c r="BU13" i="7"/>
  <c r="BX8" i="7"/>
  <c r="CH8" i="7"/>
  <c r="BP14" i="7"/>
  <c r="BU10" i="7"/>
  <c r="O9" i="3"/>
  <c r="BY6" i="7"/>
  <c r="I7" i="10"/>
  <c r="BO15" i="7"/>
  <c r="AU15" i="7" s="1"/>
  <c r="CI6" i="7"/>
  <c r="BY11" i="7"/>
  <c r="CA11" i="7"/>
  <c r="BX14" i="7"/>
  <c r="CH14" i="7"/>
  <c r="BP11" i="7"/>
  <c r="S11" i="3"/>
  <c r="BU8" i="7"/>
  <c r="O7" i="3"/>
  <c r="CA14" i="7"/>
  <c r="CK14" i="7"/>
  <c r="BT13" i="7"/>
  <c r="N12" i="3"/>
  <c r="BT8" i="7"/>
  <c r="N7" i="3"/>
  <c r="BV14" i="7"/>
  <c r="P13" i="3"/>
  <c r="BP9" i="7"/>
  <c r="M7" i="3"/>
  <c r="BS8" i="7"/>
  <c r="BU6" i="7"/>
  <c r="BK15" i="7"/>
  <c r="AQ15" i="7" s="1"/>
  <c r="BT10" i="7"/>
  <c r="N9" i="3"/>
  <c r="BW9" i="7"/>
  <c r="CG9" i="7"/>
  <c r="O8" i="3"/>
  <c r="BU9" i="7"/>
  <c r="BY7" i="7"/>
  <c r="CI7" i="7"/>
  <c r="BW7" i="7"/>
  <c r="CG7" i="7"/>
  <c r="R11" i="3"/>
  <c r="B7" i="10"/>
  <c r="BH15" i="7"/>
  <c r="AN15" i="7" s="1"/>
  <c r="R8" i="3"/>
  <c r="BT9" i="7"/>
  <c r="N8" i="3"/>
  <c r="BY9" i="7"/>
  <c r="CI9" i="7"/>
  <c r="BZ12" i="7"/>
  <c r="CJ12" i="7"/>
  <c r="BY8" i="7"/>
  <c r="CI8" i="7"/>
  <c r="BV11" i="7"/>
  <c r="BW10" i="7"/>
  <c r="CG10" i="7"/>
  <c r="BV7" i="7"/>
  <c r="BW14" i="7"/>
  <c r="CG14" i="7"/>
  <c r="BP10" i="7"/>
  <c r="BP6" i="7"/>
  <c r="CA13" i="7"/>
  <c r="CK13" i="7"/>
  <c r="BV9" i="7"/>
  <c r="P8" i="3"/>
  <c r="BX7" i="7"/>
  <c r="CH7" i="7"/>
  <c r="BP13" i="7"/>
  <c r="BP8" i="7"/>
  <c r="BU7" i="7"/>
  <c r="CA7" i="7"/>
  <c r="CK7" i="7"/>
  <c r="BS11" i="7"/>
  <c r="CA6" i="7"/>
  <c r="CK6" i="7"/>
  <c r="BQ15" i="7"/>
  <c r="AW15" i="7" s="1"/>
  <c r="BY13" i="7"/>
  <c r="CI13" i="7"/>
  <c r="U9" i="3"/>
  <c r="BP7" i="7"/>
  <c r="BX13" i="7"/>
  <c r="CH13" i="7"/>
  <c r="M12" i="3"/>
  <c r="BS13" i="7"/>
  <c r="BW8" i="7"/>
  <c r="CG8" i="7"/>
  <c r="BX10" i="7"/>
  <c r="CH10" i="7"/>
  <c r="M8" i="3"/>
  <c r="BS9" i="7"/>
  <c r="BT14" i="7"/>
  <c r="N13" i="3"/>
  <c r="BS10" i="7"/>
  <c r="M9" i="3"/>
  <c r="CG6" i="7"/>
  <c r="BW6" i="7"/>
  <c r="BS14" i="7"/>
  <c r="M13" i="3"/>
  <c r="BV10" i="7"/>
  <c r="P9" i="3"/>
  <c r="BV6" i="7"/>
  <c r="BL15" i="7"/>
  <c r="AR15" i="7" s="1"/>
  <c r="BW13" i="7"/>
  <c r="CG13" i="7"/>
  <c r="BY10" i="7"/>
  <c r="CI10" i="7"/>
  <c r="CA8" i="7"/>
  <c r="K7" i="10"/>
  <c r="B37" i="10" s="1"/>
  <c r="CK8" i="7"/>
  <c r="BT7" i="7"/>
  <c r="BV13" i="7"/>
  <c r="P12" i="3"/>
  <c r="BV8" i="7"/>
  <c r="P7" i="3"/>
  <c r="BU14" i="7"/>
  <c r="O13" i="3"/>
  <c r="BT6" i="7"/>
  <c r="CA9" i="7"/>
  <c r="CK9" i="7"/>
  <c r="BX6" i="7"/>
  <c r="H7" i="10"/>
  <c r="BN15" i="7"/>
  <c r="AT15" i="7" s="1"/>
  <c r="CH6" i="7"/>
  <c r="BS7" i="7"/>
  <c r="BY14" i="7"/>
  <c r="CI14" i="7"/>
  <c r="AO6" i="7"/>
  <c r="BI6" i="7" s="1"/>
  <c r="BT11" i="7" l="1"/>
  <c r="CK11" i="7"/>
  <c r="FB6" i="7"/>
  <c r="FB17" i="7" s="1"/>
  <c r="ER6" i="7"/>
  <c r="ER17" i="7" s="1"/>
  <c r="EH6" i="7"/>
  <c r="EH11" i="7"/>
  <c r="EH22" i="7" s="1"/>
  <c r="ER11" i="7"/>
  <c r="ER22" i="7" s="1"/>
  <c r="FB11" i="7"/>
  <c r="FB22" i="7" s="1"/>
  <c r="AB11" i="3"/>
  <c r="AC11" i="3"/>
  <c r="AE11" i="3"/>
  <c r="AA11" i="3"/>
  <c r="Q11" i="3"/>
  <c r="N6" i="3"/>
  <c r="CG11" i="7"/>
  <c r="CG15" i="7" s="1"/>
  <c r="CH11" i="7"/>
  <c r="M10" i="3"/>
  <c r="BM15" i="7"/>
  <c r="AS15" i="7" s="1"/>
  <c r="BW11" i="7"/>
  <c r="BX11" i="7"/>
  <c r="AC10" i="3"/>
  <c r="N10" i="3"/>
  <c r="U10" i="3"/>
  <c r="P10" i="3"/>
  <c r="O10" i="3"/>
  <c r="F7" i="10"/>
  <c r="K11" i="10" s="1"/>
  <c r="G7" i="10"/>
  <c r="G9" i="10" s="1"/>
  <c r="K9" i="10"/>
  <c r="E7" i="10"/>
  <c r="E9" i="10" s="1"/>
  <c r="N5" i="3"/>
  <c r="D7" i="10"/>
  <c r="D9" i="10" s="1"/>
  <c r="I9" i="10"/>
  <c r="H9" i="10"/>
  <c r="CA15" i="7"/>
  <c r="BT15" i="7"/>
  <c r="P5" i="3"/>
  <c r="AE8" i="3"/>
  <c r="U8" i="3"/>
  <c r="AB12" i="3"/>
  <c r="R12" i="3"/>
  <c r="BS6" i="7"/>
  <c r="BI15" i="7"/>
  <c r="AO15" i="7" s="1"/>
  <c r="AC9" i="3"/>
  <c r="S9" i="3"/>
  <c r="AE9" i="3"/>
  <c r="BZ13" i="7"/>
  <c r="CJ13" i="7"/>
  <c r="BZ6" i="7"/>
  <c r="CJ6" i="7"/>
  <c r="BP15" i="7"/>
  <c r="AV15" i="7" s="1"/>
  <c r="AA13" i="3"/>
  <c r="Q13" i="3"/>
  <c r="AA6" i="3"/>
  <c r="Q6" i="3"/>
  <c r="S6" i="3"/>
  <c r="AC6" i="3"/>
  <c r="AA8" i="3"/>
  <c r="Q8" i="3"/>
  <c r="R10" i="3"/>
  <c r="BZ11" i="7"/>
  <c r="CJ11" i="7"/>
  <c r="AC5" i="3"/>
  <c r="S5" i="3"/>
  <c r="AB7" i="3"/>
  <c r="R7" i="3"/>
  <c r="AA12" i="3"/>
  <c r="Q12" i="3"/>
  <c r="AB9" i="3"/>
  <c r="R9" i="3"/>
  <c r="AE6" i="3"/>
  <c r="U6" i="3"/>
  <c r="AC8" i="3"/>
  <c r="S8" i="3"/>
  <c r="AB5" i="3"/>
  <c r="R5" i="3"/>
  <c r="BX15" i="7"/>
  <c r="AE7" i="3"/>
  <c r="U7" i="3"/>
  <c r="AA5" i="3"/>
  <c r="Q5" i="3"/>
  <c r="CK15" i="7"/>
  <c r="AE12" i="3"/>
  <c r="U12" i="3"/>
  <c r="AA9" i="3"/>
  <c r="Q9" i="3"/>
  <c r="AD11" i="3"/>
  <c r="T11" i="3"/>
  <c r="AA10" i="3"/>
  <c r="Q10" i="3"/>
  <c r="O5" i="3"/>
  <c r="AE13" i="3"/>
  <c r="U13" i="3"/>
  <c r="BY15" i="7"/>
  <c r="BZ14" i="7"/>
  <c r="CJ14" i="7"/>
  <c r="AC12" i="3"/>
  <c r="S12" i="3"/>
  <c r="AC13" i="3"/>
  <c r="S13" i="3"/>
  <c r="CH15" i="7"/>
  <c r="BV15" i="7"/>
  <c r="BW15" i="7"/>
  <c r="AA7" i="3"/>
  <c r="Q7" i="3"/>
  <c r="BZ7" i="7"/>
  <c r="CJ7" i="7"/>
  <c r="U5" i="3"/>
  <c r="AE5" i="3"/>
  <c r="BZ8" i="7"/>
  <c r="CJ8" i="7"/>
  <c r="AB6" i="3"/>
  <c r="R6" i="3"/>
  <c r="BZ10" i="7"/>
  <c r="CJ10" i="7"/>
  <c r="S7" i="3"/>
  <c r="AC7" i="3"/>
  <c r="AB8" i="3"/>
  <c r="BU15" i="7"/>
  <c r="BZ9" i="7"/>
  <c r="CJ9" i="7"/>
  <c r="AB13" i="3"/>
  <c r="R13" i="3"/>
  <c r="CI15" i="7"/>
  <c r="BS15" i="7" l="1"/>
  <c r="S10" i="3"/>
  <c r="AB10" i="3"/>
  <c r="AE10" i="3"/>
  <c r="I11" i="10"/>
  <c r="H11" i="10"/>
  <c r="F9" i="10"/>
  <c r="G11" i="10"/>
  <c r="AC10" i="10" s="1"/>
  <c r="ER26" i="7"/>
  <c r="ER15" i="7"/>
  <c r="J7" i="10"/>
  <c r="EH17" i="7"/>
  <c r="EH26" i="7" s="1"/>
  <c r="EH15" i="7"/>
  <c r="FB26" i="7"/>
  <c r="FB15" i="7"/>
  <c r="M5" i="3"/>
  <c r="C7" i="10"/>
  <c r="C9" i="10" s="1"/>
  <c r="AD7" i="3"/>
  <c r="T7" i="3"/>
  <c r="BZ15" i="7"/>
  <c r="AD6" i="3"/>
  <c r="T6" i="3"/>
  <c r="CJ15" i="7"/>
  <c r="AD8" i="3"/>
  <c r="T8" i="3"/>
  <c r="AD5" i="3"/>
  <c r="T5" i="3"/>
  <c r="AD9" i="3"/>
  <c r="T9" i="3"/>
  <c r="AD12" i="3"/>
  <c r="T12" i="3"/>
  <c r="AD13" i="3"/>
  <c r="T13" i="3"/>
  <c r="AD10" i="3"/>
  <c r="T10" i="3"/>
  <c r="AC11" i="10" l="1"/>
  <c r="AC12" i="10" s="1"/>
  <c r="AB10" i="10"/>
  <c r="AB11" i="10" s="1"/>
  <c r="AB12" i="10" s="1"/>
  <c r="AA10" i="10"/>
  <c r="AA11" i="10" s="1"/>
  <c r="AA12" i="10" s="1"/>
  <c r="Z10" i="10"/>
  <c r="Z11" i="10" s="1"/>
  <c r="Y10" i="10"/>
  <c r="J11" i="10"/>
  <c r="J9" i="10"/>
  <c r="K14" i="3"/>
  <c r="G14" i="3"/>
  <c r="C14" i="3"/>
  <c r="B14" i="3"/>
  <c r="AE14" i="3"/>
  <c r="AD14" i="3"/>
  <c r="AB14" i="3"/>
  <c r="AA14" i="3"/>
  <c r="Z14" i="3"/>
  <c r="X14" i="3"/>
  <c r="W14" i="3"/>
  <c r="V14" i="3"/>
  <c r="T14" i="3"/>
  <c r="S14" i="3"/>
  <c r="R14" i="3"/>
  <c r="P14" i="3"/>
  <c r="O14" i="3"/>
  <c r="N14" i="3"/>
  <c r="AC13" i="10" l="1"/>
  <c r="AC14" i="10" s="1"/>
  <c r="AB13" i="10"/>
  <c r="D14" i="3"/>
  <c r="H14" i="3"/>
  <c r="F14" i="3"/>
  <c r="J14" i="3"/>
  <c r="E14" i="3"/>
  <c r="I14" i="3"/>
  <c r="M14" i="3"/>
  <c r="Q14" i="3"/>
  <c r="U14" i="3"/>
  <c r="Y14" i="3"/>
  <c r="AC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tc={A93ADC9E-FE24-4CF6-845B-D0EACEE20D51}</author>
  </authors>
  <commentList>
    <comment ref="I10" authorId="0" shapeId="0" xr:uid="{A93ADC9E-FE24-4CF6-845B-D0EACEE20D51}">
      <text>
        <t>[Threaded comment]
Your version of Excel allows you to read this threaded comment; however, any edits to it will get removed if the file is opened in a newer version of Excel. Learn more: https://go.microsoft.com/fwlink/?linkid=870924
Comment:
    MEO didn't update ratio - used MICS 2015-but shoudl use 2018 DHS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tc={217C66A1-8A33-4A3A-8BF3-8CB06A90D288}</author>
  </authors>
  <commentList>
    <comment ref="F11" authorId="0" shapeId="0" xr:uid="{217C66A1-8A33-4A3A-8BF3-8CB06A90D288}">
      <text>
        <t>[Threaded comment]
Your version of Excel allows you to read this threaded comment; however, any edits to it will get removed if the file is opened in a newer version of Excel. Learn more: https://go.microsoft.com/fwlink/?linkid=870924
Comment:
    Note - Niger uses a trended ratio from multiple surveys</t>
      </text>
    </comment>
  </commentList>
</comments>
</file>

<file path=xl/sharedStrings.xml><?xml version="1.0" encoding="utf-8"?>
<sst xmlns="http://schemas.openxmlformats.org/spreadsheetml/2006/main" count="685" uniqueCount="269">
  <si>
    <t>Source Data</t>
  </si>
  <si>
    <t>FPET: Married mCPR</t>
  </si>
  <si>
    <t>mCPR Conversion Ratio</t>
  </si>
  <si>
    <t>Source</t>
  </si>
  <si>
    <t>Year</t>
  </si>
  <si>
    <t>mCPR (AW) / mCPR (MW)</t>
  </si>
  <si>
    <t>Baseline 2011</t>
  </si>
  <si>
    <t>Benin</t>
  </si>
  <si>
    <t>Y</t>
  </si>
  <si>
    <t>Burkina Faso</t>
  </si>
  <si>
    <t>Côte d'Ivoire</t>
  </si>
  <si>
    <t>Guinea</t>
  </si>
  <si>
    <t>MICS</t>
  </si>
  <si>
    <t>Mali</t>
  </si>
  <si>
    <t>Mauritania</t>
  </si>
  <si>
    <t>Niger</t>
  </si>
  <si>
    <t>PMA2020 R2</t>
  </si>
  <si>
    <t>Senegal</t>
  </si>
  <si>
    <t>DHS</t>
  </si>
  <si>
    <t>Togo</t>
  </si>
  <si>
    <t>Total</t>
  </si>
  <si>
    <t>Unintended Pregnancies Averted</t>
  </si>
  <si>
    <t>Unsafe Abortions Averted</t>
  </si>
  <si>
    <t>Maternal Deaths Averted</t>
  </si>
  <si>
    <t>Modern Contraceptive Prevalence Rate (mCPR) : Married Women /  
Taux de prévalence de la contraception moderne (TPCM):  Femmes Mariées</t>
  </si>
  <si>
    <t>Modern Contraceptive Prevalence Rate (mCPR) : All Women /  
Taux de prévalence de la contraception moderne (TPCM):  Toutes les Femmes</t>
  </si>
  <si>
    <t>Total / OP</t>
  </si>
  <si>
    <t>Country / Pays</t>
  </si>
  <si>
    <t>Modern Contraceptive Users* - Utilisateurs de contraceptifs modernes</t>
  </si>
  <si>
    <t>Additional Users (2011 Baseline)  - Utilisateurs Additionnels (2011)</t>
  </si>
  <si>
    <t>Additional Users (2015 Baseline)  - Utilisateurs Additionnels (2015)</t>
  </si>
  <si>
    <t>Most Recent Source</t>
  </si>
  <si>
    <t>Service Statistics Data Included?</t>
  </si>
  <si>
    <t>Women of Reproductive Age (WRA - FAP)</t>
  </si>
  <si>
    <t>New FPET Survey</t>
  </si>
  <si>
    <t>New SS data in FPET</t>
  </si>
  <si>
    <t>New mCPR Conversion Ratio</t>
  </si>
  <si>
    <t>New WRA Estimates</t>
  </si>
  <si>
    <t>Total / OP Regional Average</t>
  </si>
  <si>
    <t>MICS 2015</t>
  </si>
  <si>
    <t>Updated</t>
  </si>
  <si>
    <t>Married Women mCPR from FPET</t>
  </si>
  <si>
    <t>Conversion Ratio</t>
  </si>
  <si>
    <t>All Women mCPR</t>
  </si>
  <si>
    <t>Population WRA (WPP 2019)</t>
  </si>
  <si>
    <t>Number of Users</t>
  </si>
  <si>
    <t>Additional Users</t>
  </si>
  <si>
    <t>FPET Married Women Unmet Need for Modern Methods</t>
  </si>
  <si>
    <t>Percent of demand satisfied with a modern method (Married)</t>
  </si>
  <si>
    <t>Married Women - mWRA 2018 Update (2019 WPP Pop)</t>
  </si>
  <si>
    <t>Married Women w/Unmet Need Modern</t>
  </si>
  <si>
    <t>WRA</t>
  </si>
  <si>
    <t>Country</t>
  </si>
  <si>
    <t>Date of CW</t>
  </si>
  <si>
    <t>Last Survey</t>
  </si>
  <si>
    <t>SS included in FPET Run</t>
  </si>
  <si>
    <t>% Married or Ratio?</t>
  </si>
  <si>
    <t>Ratio Check: All Users - Married Users</t>
  </si>
  <si>
    <t>FPET Survey</t>
  </si>
  <si>
    <t>SS inclusion</t>
  </si>
  <si>
    <t>mCPR Conversion Ratio Source</t>
  </si>
  <si>
    <t>Used?</t>
  </si>
  <si>
    <t>DHS 2017-18</t>
  </si>
  <si>
    <t>Ratio</t>
  </si>
  <si>
    <t>WPP 2019</t>
  </si>
  <si>
    <t>Track20 Global Run</t>
  </si>
  <si>
    <t>Trend Ratio</t>
  </si>
  <si>
    <t>Source of Data</t>
  </si>
  <si>
    <t>Matched to FP2020 Report</t>
  </si>
  <si>
    <t>DHS 2018</t>
  </si>
  <si>
    <t xml:space="preserve">Baseline' Number Users 2011.5 </t>
  </si>
  <si>
    <t>Notes</t>
  </si>
  <si>
    <t>Estimates of users have been rounded down to the nearest 1000.</t>
  </si>
  <si>
    <t>Estimates of additional users are calculated based on rounded users estimates</t>
  </si>
  <si>
    <t>Unintended Pregnancies Averted (Rounded)</t>
  </si>
  <si>
    <t>Unsafe Abortions Averted (Rounded)</t>
  </si>
  <si>
    <t>Maternal Deaths Averted (Rounded)</t>
  </si>
  <si>
    <t>Changed from Last Update? 
(April 2019)</t>
  </si>
  <si>
    <t>Zimbabwe</t>
  </si>
  <si>
    <t>Rounded 2019.5</t>
  </si>
  <si>
    <t>Rounded 2020.5</t>
  </si>
  <si>
    <t>%</t>
  </si>
  <si>
    <t>Population</t>
  </si>
  <si>
    <t>Percentage of women using each modern method of contraception (method mix)</t>
  </si>
  <si>
    <t>Implant</t>
  </si>
  <si>
    <t>Stérilisation (f)</t>
  </si>
  <si>
    <t>DIU</t>
  </si>
  <si>
    <t>Stérilisation (m)</t>
  </si>
  <si>
    <t>Préservatifs (m)</t>
  </si>
  <si>
    <t>Injectables</t>
  </si>
  <si>
    <t>Pilule</t>
  </si>
  <si>
    <t>de femmes utilisent une méthode moderne de contraception</t>
  </si>
  <si>
    <t>MAMA</t>
  </si>
  <si>
    <t>Autres méthodes modernes</t>
  </si>
  <si>
    <t>Grâce à l’utilisation de contraceptifs modernes</t>
  </si>
  <si>
    <t>`</t>
  </si>
  <si>
    <t>Afghanistan</t>
  </si>
  <si>
    <t>Bangladesh</t>
  </si>
  <si>
    <t>Chad</t>
  </si>
  <si>
    <t>Djibouti</t>
  </si>
  <si>
    <t>Nigeria</t>
  </si>
  <si>
    <t>Egypt</t>
  </si>
  <si>
    <t>Bhutan</t>
  </si>
  <si>
    <t>Gambia</t>
  </si>
  <si>
    <t>Ghana</t>
  </si>
  <si>
    <t>Rwanda</t>
  </si>
  <si>
    <t>Malawi</t>
  </si>
  <si>
    <t>Bolivia</t>
  </si>
  <si>
    <t>Eritrea</t>
  </si>
  <si>
    <t>Zambia</t>
  </si>
  <si>
    <t>Lesotho</t>
  </si>
  <si>
    <t>Kenya</t>
  </si>
  <si>
    <t>Burundi</t>
  </si>
  <si>
    <t>Cambodia</t>
  </si>
  <si>
    <t>Tanzania</t>
  </si>
  <si>
    <t>Cameroon</t>
  </si>
  <si>
    <t>CAR</t>
  </si>
  <si>
    <t>Comoros</t>
  </si>
  <si>
    <t>Congo</t>
  </si>
  <si>
    <t>DPR Korea</t>
  </si>
  <si>
    <t>DR Congo</t>
  </si>
  <si>
    <t>Ethiopia</t>
  </si>
  <si>
    <t>Guinea-Bissau</t>
  </si>
  <si>
    <t>Haiti</t>
  </si>
  <si>
    <t>Honduras</t>
  </si>
  <si>
    <t>India</t>
  </si>
  <si>
    <t>Indonesia</t>
  </si>
  <si>
    <t>Iraq</t>
  </si>
  <si>
    <t>Lao PDR</t>
  </si>
  <si>
    <t>Liberia</t>
  </si>
  <si>
    <t>Madagascar</t>
  </si>
  <si>
    <t>Mongolia</t>
  </si>
  <si>
    <t>Mozambique</t>
  </si>
  <si>
    <t>Myanmar</t>
  </si>
  <si>
    <t>Nepal</t>
  </si>
  <si>
    <t>Nicaragua</t>
  </si>
  <si>
    <t>Pakistan</t>
  </si>
  <si>
    <t>Papua New Guinea</t>
  </si>
  <si>
    <t>Philippines</t>
  </si>
  <si>
    <t>Sao Tome and Principe</t>
  </si>
  <si>
    <t>Sierra Leone</t>
  </si>
  <si>
    <t>Solomon Islands</t>
  </si>
  <si>
    <t>Somalia</t>
  </si>
  <si>
    <t>South Africa</t>
  </si>
  <si>
    <t>South Sudan</t>
  </si>
  <si>
    <t>Sri Lanka</t>
  </si>
  <si>
    <t>State of Palestine</t>
  </si>
  <si>
    <t>Sudan</t>
  </si>
  <si>
    <t>Tajikistan</t>
  </si>
  <si>
    <t>Timor-Leste</t>
  </si>
  <si>
    <t>Uganda</t>
  </si>
  <si>
    <t>Uzbekistan</t>
  </si>
  <si>
    <t>Viet Nam</t>
  </si>
  <si>
    <t>Western Sahara</t>
  </si>
  <si>
    <t>Yemen</t>
  </si>
  <si>
    <t>E</t>
  </si>
  <si>
    <t>F</t>
  </si>
  <si>
    <t>Angola</t>
  </si>
  <si>
    <t>Bhoutan</t>
  </si>
  <si>
    <t>Bolivie</t>
  </si>
  <si>
    <t>Cambodge</t>
  </si>
  <si>
    <t>Cameroun</t>
  </si>
  <si>
    <t>Republique Centrafricaine</t>
  </si>
  <si>
    <t>Tchad</t>
  </si>
  <si>
    <t>Comores</t>
  </si>
  <si>
    <t>Corée</t>
  </si>
  <si>
    <t>République Democratique du Congo</t>
  </si>
  <si>
    <t>Égypte</t>
  </si>
  <si>
    <t>Érythrée</t>
  </si>
  <si>
    <t>Éthiopie</t>
  </si>
  <si>
    <t>Gambie</t>
  </si>
  <si>
    <t>Guinée</t>
  </si>
  <si>
    <t>Guinee-Bissau</t>
  </si>
  <si>
    <t>Haïti</t>
  </si>
  <si>
    <t>Inde</t>
  </si>
  <si>
    <t>Indonésie</t>
  </si>
  <si>
    <t>Irak</t>
  </si>
  <si>
    <t>Kyrgyz Republic</t>
  </si>
  <si>
    <t>République Kirghize</t>
  </si>
  <si>
    <t>Laos</t>
  </si>
  <si>
    <t>Libéria</t>
  </si>
  <si>
    <t>Mauritanie</t>
  </si>
  <si>
    <t>Mongolie</t>
  </si>
  <si>
    <t>Papouasie-Nouvelle-Guinée</t>
  </si>
  <si>
    <t>Phillipines</t>
  </si>
  <si>
    <t>Sao Tomé et Principe</t>
  </si>
  <si>
    <t>Iles Salomon</t>
  </si>
  <si>
    <t>Somalie</t>
  </si>
  <si>
    <t>Afrique Du Sud</t>
  </si>
  <si>
    <t>Sudan du Sud</t>
  </si>
  <si>
    <t>Sri-Lankais</t>
  </si>
  <si>
    <t>Palestine</t>
  </si>
  <si>
    <t>Soudan</t>
  </si>
  <si>
    <t>Tadjikistan</t>
  </si>
  <si>
    <t>Tanzanie</t>
  </si>
  <si>
    <t>Timo Leste</t>
  </si>
  <si>
    <t>Ouganda</t>
  </si>
  <si>
    <t>Ouzbekistan</t>
  </si>
  <si>
    <t>Viêt-Nam</t>
  </si>
  <si>
    <t>Sahara Occidental</t>
  </si>
  <si>
    <t>Zambie</t>
  </si>
  <si>
    <t>Utilisatrices de contraception moderne</t>
  </si>
  <si>
    <t>-</t>
  </si>
  <si>
    <t>OP Additional Users Goal (2015-2020)</t>
  </si>
  <si>
    <t>Unmet Need for Modern Methods : Married Women /  
Besoins non satisfaits pour la contraception moderne (FM)</t>
  </si>
  <si>
    <t>Demand Satisifed with a Modern Method : Married Women /  
Besoins satisfaits pour la contraception moderne (FM)</t>
  </si>
  <si>
    <t xml:space="preserve">avortements à risque évités </t>
  </si>
  <si>
    <t>grossesses non désirées 
évitées</t>
  </si>
  <si>
    <t>décès de mères évités</t>
  </si>
  <si>
    <t>Note: method order change from LS report</t>
  </si>
  <si>
    <t>Last Updated</t>
  </si>
  <si>
    <t>Modern method mix</t>
  </si>
  <si>
    <t>Long acting and permanent methods</t>
  </si>
  <si>
    <t>Short term methods</t>
  </si>
  <si>
    <t>Sterilization (female)</t>
  </si>
  <si>
    <t>Sterilization (male)</t>
  </si>
  <si>
    <t>IUD</t>
  </si>
  <si>
    <t>Injectable</t>
  </si>
  <si>
    <t>Pill</t>
  </si>
  <si>
    <t>Condom (male)</t>
  </si>
  <si>
    <t>LAM</t>
  </si>
  <si>
    <t>Other Modern Methods</t>
  </si>
  <si>
    <t>All</t>
  </si>
  <si>
    <t>Utilisatrices additionelles de contraception moderne (2015)</t>
  </si>
  <si>
    <t>Objectif d'utilisatrices additionelles</t>
  </si>
  <si>
    <t>Utilisatrices additionelles de contraception moderne (base 2011)</t>
  </si>
  <si>
    <t>Utilisatrices additionelles de contraception moderne (base 2015)</t>
  </si>
  <si>
    <t>Taux de prévalence contraceptive moderne (toutes les femmes)</t>
  </si>
  <si>
    <t>Taux de prévalence contraceptive moderne (femmes mariées)</t>
  </si>
  <si>
    <t>Besoins non satisfaits pour la contraception moderne (femmes mariées)</t>
  </si>
  <si>
    <t>Besoins satisfaits pour la contraception moderne (femmes mariées)</t>
  </si>
  <si>
    <t xml:space="preserve">MICS 2016 </t>
  </si>
  <si>
    <t>Objectif</t>
  </si>
  <si>
    <t>EDS 2018</t>
  </si>
  <si>
    <t>EDS 2017-18</t>
  </si>
  <si>
    <t>Repartition de méthodes modernes utilisées</t>
  </si>
  <si>
    <t>Additional Users (baseline 2015)</t>
  </si>
  <si>
    <t>Utilisatrices Additionnelles (2019)</t>
  </si>
  <si>
    <t>Objectif (2020)</t>
  </si>
  <si>
    <t>% de l'objectif atteint</t>
  </si>
  <si>
    <t>Total (2011-2020)</t>
  </si>
  <si>
    <t>y</t>
  </si>
  <si>
    <t>n</t>
  </si>
  <si>
    <t>PMA</t>
  </si>
  <si>
    <t>PMA R2</t>
  </si>
  <si>
    <t>?</t>
  </si>
  <si>
    <t>CW 2020</t>
  </si>
  <si>
    <t>Global Run</t>
  </si>
  <si>
    <t>2020 Indicateurs Principaux pour le Partenariat d'Ouagadougou</t>
  </si>
  <si>
    <t>n- PMA</t>
  </si>
  <si>
    <t>Track20 Training 2020</t>
  </si>
  <si>
    <t>n/a</t>
  </si>
  <si>
    <t>Consensus Workshop 2020</t>
  </si>
  <si>
    <t>Track20 Training 2021</t>
  </si>
  <si>
    <t>MICS 2017</t>
  </si>
  <si>
    <t>Changed since 2019 Update?</t>
  </si>
  <si>
    <t>Trended</t>
  </si>
  <si>
    <t>Prelim 2020 CW</t>
  </si>
  <si>
    <t>2020 CW</t>
  </si>
  <si>
    <t>Mauritania did not participate in Track20 Training/CW this year. Slight change in dataset for this year resulted in change in values (despite no new data)</t>
  </si>
  <si>
    <t>Updated 10/28/20</t>
  </si>
  <si>
    <t>Estimates of Unintended Pregnancies Averted have been rounded down to the nearest 1,000 for Unintended Pregnancies Averted.</t>
  </si>
  <si>
    <t>Estimates of Maternal Deaths Averted have been rounded down to the nearest 10 (if &lt;1000), or nearest 100 (if &gt;1000).</t>
  </si>
  <si>
    <t>Estimates of Unsafe Abortions Averted have been rounded down to the nearest 1000 (if &gt;10,000) or the nearest 100 (if &lt;10,000).</t>
  </si>
  <si>
    <t xml:space="preserve">Impact estimates are rounded down, in line with rounding conventions used for FP2020 report. </t>
  </si>
  <si>
    <t>PMA 2020</t>
  </si>
  <si>
    <t>2017 PMA2020 R2</t>
  </si>
  <si>
    <t>PMA 2017</t>
  </si>
  <si>
    <t>Nous estimons qu'en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</si>
</sst>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[$-409]d\-mmm\-yyyy;@"/>
    <numFmt numFmtId="168" formatCode="0.0\ %"/>
    <numFmt numFmtId="169" formatCode="#\ 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rgb="FF00990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0033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44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7"/>
      <color rgb="FF0B944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rgb="FFFFFFFF"/>
      <name val="Calibri"/>
      <family val="2"/>
    </font>
    <font>
      <b/>
      <sz val="26"/>
      <color theme="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2"/>
      <name val="Calibri"/>
      <family val="2"/>
      <scheme val="minor"/>
    </font>
    <font>
      <i/>
      <sz val="18"/>
      <color theme="3"/>
      <name val="Calibri"/>
      <family val="2"/>
      <scheme val="minor"/>
    </font>
    <font>
      <i/>
      <sz val="18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9" tint="0.24997711111789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9" tint="0.249977111117893"/>
        <bgColor indexed="64"/>
      </patternFill>
    </fill>
    <fill>
      <patternFill patternType="solid">
        <fgColor theme="9" tint="0.8999908444471571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3"/>
      </left>
      <right style="hair">
        <color theme="3"/>
      </right>
      <top/>
      <bottom style="thin">
        <color theme="0"/>
      </bottom>
      <diagonal/>
    </border>
    <border>
      <left style="hair">
        <color theme="3"/>
      </left>
      <right style="hair">
        <color theme="3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hair">
        <color theme="2"/>
      </left>
      <right style="hair">
        <color theme="2"/>
      </right>
      <top/>
      <bottom style="thin">
        <color theme="0"/>
      </bottom>
      <diagonal/>
    </border>
    <border>
      <left style="hair">
        <color theme="2"/>
      </left>
      <right style="hair">
        <color theme="2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hair">
        <color theme="3"/>
      </right>
      <top/>
      <bottom style="thin">
        <color theme="0"/>
      </bottom>
      <diagonal/>
    </border>
    <border>
      <left style="hair">
        <color theme="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hair">
        <color theme="3"/>
      </right>
      <top style="thin">
        <color theme="0"/>
      </top>
      <bottom style="thin">
        <color theme="0"/>
      </bottom>
      <diagonal/>
    </border>
    <border>
      <left style="hair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theme="2"/>
      </right>
      <top/>
      <bottom style="thin">
        <color theme="0"/>
      </bottom>
      <diagonal/>
    </border>
    <border>
      <left style="hair">
        <color theme="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hair">
        <color theme="2"/>
      </right>
      <top style="thin">
        <color theme="0"/>
      </top>
      <bottom style="thin">
        <color theme="0"/>
      </bottom>
      <diagonal/>
    </border>
    <border>
      <left style="hair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1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5" borderId="0" xfId="0" applyNumberFormat="1" applyFont="1" applyFill="1" applyBorder="1" applyAlignment="1">
      <alignment horizontal="center" vertical="center" wrapText="1"/>
    </xf>
    <xf numFmtId="0" fontId="2" fillId="7" borderId="0" xfId="0" quotePrefix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5" fontId="0" fillId="0" borderId="0" xfId="1" applyNumberFormat="1" applyFont="1" applyBorder="1"/>
    <xf numFmtId="3" fontId="3" fillId="0" borderId="0" xfId="0" applyNumberFormat="1" applyFont="1" applyFill="1"/>
    <xf numFmtId="3" fontId="0" fillId="0" borderId="0" xfId="0" applyNumberFormat="1"/>
    <xf numFmtId="0" fontId="5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/>
    </xf>
    <xf numFmtId="0" fontId="0" fillId="3" borderId="0" xfId="0" applyFill="1"/>
    <xf numFmtId="164" fontId="2" fillId="1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8" borderId="0" xfId="0" applyFont="1" applyFill="1" applyBorder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center"/>
    </xf>
    <xf numFmtId="0" fontId="0" fillId="3" borderId="12" xfId="0" applyFill="1" applyBorder="1"/>
    <xf numFmtId="0" fontId="2" fillId="6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8" borderId="6" xfId="0" applyFill="1" applyBorder="1"/>
    <xf numFmtId="0" fontId="0" fillId="8" borderId="7" xfId="0" applyFill="1" applyBorder="1"/>
    <xf numFmtId="3" fontId="14" fillId="0" borderId="0" xfId="0" applyNumberFormat="1" applyFont="1" applyFill="1" applyBorder="1"/>
    <xf numFmtId="0" fontId="0" fillId="0" borderId="0" xfId="0" applyFill="1"/>
    <xf numFmtId="0" fontId="0" fillId="3" borderId="6" xfId="0" applyFill="1" applyBorder="1"/>
    <xf numFmtId="0" fontId="0" fillId="8" borderId="8" xfId="0" applyFill="1" applyBorder="1"/>
    <xf numFmtId="0" fontId="2" fillId="0" borderId="0" xfId="0" applyFont="1"/>
    <xf numFmtId="3" fontId="2" fillId="7" borderId="17" xfId="0" applyNumberFormat="1" applyFont="1" applyFill="1" applyBorder="1"/>
    <xf numFmtId="3" fontId="2" fillId="8" borderId="17" xfId="0" applyNumberFormat="1" applyFont="1" applyFill="1" applyBorder="1"/>
    <xf numFmtId="0" fontId="0" fillId="7" borderId="8" xfId="0" applyFill="1" applyBorder="1"/>
    <xf numFmtId="0" fontId="2" fillId="7" borderId="12" xfId="0" quotePrefix="1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2" fillId="7" borderId="24" xfId="0" applyNumberFormat="1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center"/>
    </xf>
    <xf numFmtId="3" fontId="2" fillId="7" borderId="26" xfId="0" applyNumberFormat="1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3" fontId="2" fillId="8" borderId="24" xfId="0" applyNumberFormat="1" applyFont="1" applyFill="1" applyBorder="1" applyAlignment="1">
      <alignment horizontal="center"/>
    </xf>
    <xf numFmtId="3" fontId="2" fillId="8" borderId="25" xfId="0" applyNumberFormat="1" applyFont="1" applyFill="1" applyBorder="1" applyAlignment="1">
      <alignment horizontal="center"/>
    </xf>
    <xf numFmtId="3" fontId="2" fillId="8" borderId="26" xfId="0" applyNumberFormat="1" applyFont="1" applyFill="1" applyBorder="1" applyAlignment="1">
      <alignment horizontal="center"/>
    </xf>
    <xf numFmtId="0" fontId="0" fillId="14" borderId="6" xfId="0" applyFill="1" applyBorder="1"/>
    <xf numFmtId="0" fontId="0" fillId="14" borderId="7" xfId="0" applyFill="1" applyBorder="1"/>
    <xf numFmtId="0" fontId="0" fillId="14" borderId="8" xfId="0" applyFill="1" applyBorder="1"/>
    <xf numFmtId="0" fontId="2" fillId="14" borderId="12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3" fontId="2" fillId="14" borderId="24" xfId="0" applyNumberFormat="1" applyFont="1" applyFill="1" applyBorder="1" applyAlignment="1">
      <alignment horizontal="center"/>
    </xf>
    <xf numFmtId="3" fontId="2" fillId="14" borderId="25" xfId="0" applyNumberFormat="1" applyFont="1" applyFill="1" applyBorder="1" applyAlignment="1">
      <alignment horizontal="center"/>
    </xf>
    <xf numFmtId="3" fontId="2" fillId="14" borderId="26" xfId="0" applyNumberFormat="1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164" fontId="2" fillId="5" borderId="12" xfId="0" applyNumberFormat="1" applyFont="1" applyFill="1" applyBorder="1" applyAlignment="1">
      <alignment horizontal="center" vertical="center" wrapText="1"/>
    </xf>
    <xf numFmtId="164" fontId="2" fillId="5" borderId="21" xfId="0" applyNumberFormat="1" applyFont="1" applyFill="1" applyBorder="1" applyAlignment="1">
      <alignment horizontal="center" vertical="center" wrapText="1"/>
    </xf>
    <xf numFmtId="0" fontId="0" fillId="13" borderId="6" xfId="0" applyFill="1" applyBorder="1"/>
    <xf numFmtId="0" fontId="0" fillId="13" borderId="7" xfId="0" applyFill="1" applyBorder="1"/>
    <xf numFmtId="0" fontId="0" fillId="13" borderId="8" xfId="0" applyFill="1" applyBorder="1"/>
    <xf numFmtId="164" fontId="2" fillId="13" borderId="12" xfId="0" applyNumberFormat="1" applyFont="1" applyFill="1" applyBorder="1" applyAlignment="1">
      <alignment horizontal="center" vertical="center" wrapText="1"/>
    </xf>
    <xf numFmtId="164" fontId="2" fillId="13" borderId="21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0" fontId="0" fillId="15" borderId="0" xfId="0" applyFill="1"/>
    <xf numFmtId="0" fontId="4" fillId="15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/>
    </xf>
    <xf numFmtId="0" fontId="0" fillId="3" borderId="0" xfId="0" applyFill="1" applyBorder="1"/>
    <xf numFmtId="0" fontId="4" fillId="15" borderId="17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0" fillId="2" borderId="0" xfId="0" applyFill="1"/>
    <xf numFmtId="14" fontId="0" fillId="0" borderId="0" xfId="0" applyNumberFormat="1" applyAlignment="1">
      <alignment horizontal="center"/>
    </xf>
    <xf numFmtId="0" fontId="0" fillId="19" borderId="0" xfId="0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19" borderId="33" xfId="0" applyFont="1" applyFill="1" applyBorder="1" applyAlignment="1">
      <alignment horizontal="center" vertical="center" wrapText="1"/>
    </xf>
    <xf numFmtId="0" fontId="2" fillId="2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2" fillId="16" borderId="0" xfId="0" applyNumberFormat="1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164" fontId="2" fillId="17" borderId="0" xfId="0" applyNumberFormat="1" applyFont="1" applyFill="1" applyBorder="1" applyAlignment="1">
      <alignment horizontal="center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2" fontId="2" fillId="7" borderId="0" xfId="0" quotePrefix="1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166" fontId="0" fillId="0" borderId="0" xfId="2" applyNumberFormat="1" applyFont="1"/>
    <xf numFmtId="0" fontId="5" fillId="0" borderId="0" xfId="0" applyFont="1" applyFill="1" applyAlignment="1">
      <alignment horizontal="right" vertical="center"/>
    </xf>
    <xf numFmtId="166" fontId="13" fillId="0" borderId="12" xfId="2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6" fontId="13" fillId="0" borderId="21" xfId="2" applyNumberFormat="1" applyFont="1" applyFill="1" applyBorder="1" applyAlignment="1">
      <alignment horizontal="center"/>
    </xf>
    <xf numFmtId="166" fontId="13" fillId="0" borderId="22" xfId="2" applyNumberFormat="1" applyFont="1" applyFill="1" applyBorder="1" applyAlignment="1" applyProtection="1">
      <alignment horizontal="center"/>
      <protection locked="0"/>
    </xf>
    <xf numFmtId="166" fontId="13" fillId="0" borderId="12" xfId="2" applyNumberFormat="1" applyFont="1" applyFill="1" applyBorder="1" applyAlignment="1" applyProtection="1">
      <alignment horizontal="center"/>
      <protection locked="0"/>
    </xf>
    <xf numFmtId="166" fontId="13" fillId="0" borderId="0" xfId="2" applyNumberFormat="1" applyFont="1" applyFill="1" applyBorder="1" applyAlignment="1" applyProtection="1">
      <alignment horizontal="center"/>
      <protection locked="0"/>
    </xf>
    <xf numFmtId="166" fontId="13" fillId="0" borderId="21" xfId="2" applyNumberFormat="1" applyFont="1" applyFill="1" applyBorder="1" applyAlignment="1" applyProtection="1">
      <alignment horizontal="center"/>
      <protection locked="0"/>
    </xf>
    <xf numFmtId="166" fontId="13" fillId="0" borderId="4" xfId="2" applyNumberFormat="1" applyFont="1" applyFill="1" applyBorder="1" applyAlignment="1" applyProtection="1">
      <alignment horizontal="center"/>
      <protection locked="0"/>
    </xf>
    <xf numFmtId="166" fontId="13" fillId="0" borderId="23" xfId="2" applyNumberFormat="1" applyFont="1" applyFill="1" applyBorder="1" applyAlignment="1" applyProtection="1">
      <alignment horizontal="center"/>
      <protection locked="0"/>
    </xf>
    <xf numFmtId="166" fontId="0" fillId="0" borderId="12" xfId="2" applyNumberFormat="1" applyFont="1" applyFill="1" applyBorder="1" applyAlignment="1">
      <alignment horizontal="center" vertical="center"/>
    </xf>
    <xf numFmtId="166" fontId="0" fillId="0" borderId="0" xfId="2" applyNumberFormat="1" applyFont="1" applyFill="1" applyBorder="1" applyAlignment="1">
      <alignment horizontal="center" vertical="center"/>
    </xf>
    <xf numFmtId="166" fontId="0" fillId="0" borderId="21" xfId="2" applyNumberFormat="1" applyFont="1" applyFill="1" applyBorder="1" applyAlignment="1">
      <alignment horizontal="center" vertical="center"/>
    </xf>
    <xf numFmtId="166" fontId="2" fillId="13" borderId="24" xfId="2" applyNumberFormat="1" applyFont="1" applyFill="1" applyBorder="1" applyAlignment="1">
      <alignment horizontal="center" vertical="center"/>
    </xf>
    <xf numFmtId="166" fontId="2" fillId="13" borderId="25" xfId="2" applyNumberFormat="1" applyFont="1" applyFill="1" applyBorder="1" applyAlignment="1">
      <alignment horizontal="center" vertical="center"/>
    </xf>
    <xf numFmtId="166" fontId="2" fillId="13" borderId="26" xfId="2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13" fillId="0" borderId="0" xfId="0" applyFont="1" applyFill="1"/>
    <xf numFmtId="2" fontId="0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9" xfId="0" applyBorder="1"/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2" fillId="13" borderId="0" xfId="0" applyFont="1" applyFill="1"/>
    <xf numFmtId="0" fontId="0" fillId="0" borderId="0" xfId="0" applyAlignment="1">
      <alignment wrapText="1"/>
    </xf>
    <xf numFmtId="0" fontId="35" fillId="3" borderId="0" xfId="0" applyFont="1" applyFill="1"/>
    <xf numFmtId="0" fontId="36" fillId="3" borderId="0" xfId="0" applyFont="1" applyFill="1" applyAlignment="1">
      <alignment vertical="top"/>
    </xf>
    <xf numFmtId="0" fontId="35" fillId="13" borderId="0" xfId="0" applyFont="1" applyFill="1"/>
    <xf numFmtId="0" fontId="37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0" fillId="23" borderId="0" xfId="0" applyFill="1" applyAlignment="1">
      <alignment wrapText="1"/>
    </xf>
    <xf numFmtId="0" fontId="3" fillId="23" borderId="0" xfId="0" applyFont="1" applyFill="1" applyAlignment="1">
      <alignment wrapText="1"/>
    </xf>
    <xf numFmtId="0" fontId="0" fillId="12" borderId="36" xfId="0" applyFill="1" applyBorder="1" applyAlignment="1">
      <alignment wrapText="1"/>
    </xf>
    <xf numFmtId="0" fontId="3" fillId="12" borderId="37" xfId="0" applyFont="1" applyFill="1" applyBorder="1"/>
    <xf numFmtId="0" fontId="3" fillId="23" borderId="38" xfId="0" applyFont="1" applyFill="1" applyBorder="1" applyAlignment="1">
      <alignment vertical="center" wrapText="1"/>
    </xf>
    <xf numFmtId="0" fontId="3" fillId="23" borderId="4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166" fontId="23" fillId="0" borderId="34" xfId="2" applyNumberFormat="1" applyFont="1" applyBorder="1" applyAlignment="1">
      <alignment wrapText="1"/>
    </xf>
    <xf numFmtId="37" fontId="39" fillId="3" borderId="0" xfId="0" applyNumberFormat="1" applyFont="1" applyFill="1" applyAlignment="1">
      <alignment vertical="center" wrapText="1"/>
    </xf>
    <xf numFmtId="0" fontId="38" fillId="3" borderId="0" xfId="0" applyFont="1" applyFill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left" vertical="center" wrapText="1"/>
    </xf>
    <xf numFmtId="0" fontId="30" fillId="0" borderId="0" xfId="0" applyFont="1"/>
    <xf numFmtId="0" fontId="46" fillId="0" borderId="0" xfId="0" applyFont="1" applyAlignment="1">
      <alignment vertical="center" wrapText="1"/>
    </xf>
    <xf numFmtId="0" fontId="0" fillId="0" borderId="44" xfId="0" applyBorder="1"/>
    <xf numFmtId="0" fontId="0" fillId="0" borderId="45" xfId="0" applyBorder="1"/>
    <xf numFmtId="165" fontId="3" fillId="22" borderId="0" xfId="0" applyNumberFormat="1" applyFont="1" applyFill="1" applyBorder="1"/>
    <xf numFmtId="3" fontId="14" fillId="0" borderId="12" xfId="0" applyNumberFormat="1" applyFont="1" applyFill="1" applyBorder="1"/>
    <xf numFmtId="3" fontId="2" fillId="8" borderId="15" xfId="0" applyNumberFormat="1" applyFont="1" applyFill="1" applyBorder="1"/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7" fillId="11" borderId="2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6" borderId="0" xfId="0" applyFont="1" applyFill="1" applyBorder="1" applyAlignment="1">
      <alignment horizontal="center" vertical="center" wrapText="1"/>
    </xf>
    <xf numFmtId="0" fontId="0" fillId="5" borderId="9" xfId="0" applyFill="1" applyBorder="1"/>
    <xf numFmtId="0" fontId="2" fillId="6" borderId="12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66" fontId="3" fillId="16" borderId="32" xfId="2" applyNumberFormat="1" applyFont="1" applyFill="1" applyBorder="1" applyAlignment="1">
      <alignment horizontal="center"/>
    </xf>
    <xf numFmtId="166" fontId="3" fillId="16" borderId="4" xfId="2" applyNumberFormat="1" applyFont="1" applyFill="1" applyBorder="1" applyAlignment="1">
      <alignment horizontal="center"/>
    </xf>
    <xf numFmtId="166" fontId="3" fillId="16" borderId="33" xfId="2" applyNumberFormat="1" applyFont="1" applyFill="1" applyBorder="1" applyAlignment="1">
      <alignment horizontal="center"/>
    </xf>
    <xf numFmtId="0" fontId="0" fillId="16" borderId="6" xfId="0" applyFill="1" applyBorder="1"/>
    <xf numFmtId="0" fontId="0" fillId="16" borderId="7" xfId="0" applyFill="1" applyBorder="1"/>
    <xf numFmtId="0" fontId="0" fillId="16" borderId="8" xfId="0" applyFill="1" applyBorder="1"/>
    <xf numFmtId="0" fontId="10" fillId="0" borderId="12" xfId="0" applyFont="1" applyBorder="1" applyAlignment="1">
      <alignment horizontal="center" vertical="center"/>
    </xf>
    <xf numFmtId="164" fontId="2" fillId="16" borderId="12" xfId="0" applyNumberFormat="1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165" fontId="3" fillId="17" borderId="32" xfId="0" applyNumberFormat="1" applyFont="1" applyFill="1" applyBorder="1"/>
    <xf numFmtId="165" fontId="3" fillId="17" borderId="4" xfId="0" applyNumberFormat="1" applyFont="1" applyFill="1" applyBorder="1"/>
    <xf numFmtId="0" fontId="0" fillId="17" borderId="6" xfId="0" applyFill="1" applyBorder="1"/>
    <xf numFmtId="0" fontId="0" fillId="17" borderId="7" xfId="0" applyFill="1" applyBorder="1"/>
    <xf numFmtId="0" fontId="24" fillId="0" borderId="12" xfId="0" applyFont="1" applyBorder="1" applyAlignment="1">
      <alignment horizontal="center" vertical="center"/>
    </xf>
    <xf numFmtId="164" fontId="2" fillId="17" borderId="12" xfId="0" applyNumberFormat="1" applyFont="1" applyFill="1" applyBorder="1" applyAlignment="1">
      <alignment horizontal="center" vertical="center" wrapText="1"/>
    </xf>
    <xf numFmtId="0" fontId="0" fillId="7" borderId="9" xfId="0" applyFill="1" applyBorder="1"/>
    <xf numFmtId="0" fontId="25" fillId="0" borderId="12" xfId="0" applyFont="1" applyBorder="1" applyAlignment="1">
      <alignment horizontal="center" vertical="center"/>
    </xf>
    <xf numFmtId="2" fontId="2" fillId="7" borderId="21" xfId="0" applyNumberFormat="1" applyFont="1" applyFill="1" applyBorder="1" applyAlignment="1">
      <alignment horizontal="center" vertical="center" wrapText="1"/>
    </xf>
    <xf numFmtId="0" fontId="0" fillId="18" borderId="6" xfId="0" applyFill="1" applyBorder="1"/>
    <xf numFmtId="0" fontId="0" fillId="18" borderId="7" xfId="0" applyFill="1" applyBorder="1"/>
    <xf numFmtId="0" fontId="0" fillId="18" borderId="8" xfId="0" applyFill="1" applyBorder="1"/>
    <xf numFmtId="0" fontId="11" fillId="0" borderId="12" xfId="0" applyFont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2" fillId="19" borderId="23" xfId="0" applyFont="1" applyFill="1" applyBorder="1" applyAlignment="1">
      <alignment horizontal="center" vertical="center" wrapText="1"/>
    </xf>
    <xf numFmtId="0" fontId="0" fillId="20" borderId="6" xfId="0" applyFill="1" applyBorder="1"/>
    <xf numFmtId="0" fontId="0" fillId="20" borderId="7" xfId="0" applyFill="1" applyBorder="1"/>
    <xf numFmtId="0" fontId="0" fillId="20" borderId="8" xfId="0" applyFill="1" applyBorder="1"/>
    <xf numFmtId="0" fontId="2" fillId="20" borderId="22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51" fillId="0" borderId="0" xfId="0" applyFont="1" applyFill="1" applyBorder="1"/>
    <xf numFmtId="166" fontId="52" fillId="0" borderId="0" xfId="2" quotePrefix="1" applyNumberFormat="1" applyFont="1" applyFill="1" applyBorder="1" applyAlignment="1">
      <alignment horizontal="center" vertical="center"/>
    </xf>
    <xf numFmtId="166" fontId="52" fillId="0" borderId="0" xfId="2" applyNumberFormat="1" applyFont="1" applyFill="1" applyBorder="1" applyAlignment="1">
      <alignment horizontal="center" vertical="center"/>
    </xf>
    <xf numFmtId="0" fontId="0" fillId="12" borderId="0" xfId="0" applyFill="1" applyBorder="1" applyAlignment="1">
      <alignment wrapText="1"/>
    </xf>
    <xf numFmtId="0" fontId="3" fillId="12" borderId="0" xfId="0" applyFont="1" applyFill="1" applyBorder="1"/>
    <xf numFmtId="0" fontId="0" fillId="0" borderId="0" xfId="0" applyFont="1" applyFill="1" applyBorder="1" applyAlignment="1">
      <alignment horizontal="right" vertical="top"/>
    </xf>
    <xf numFmtId="0" fontId="3" fillId="25" borderId="44" xfId="0" applyFont="1" applyFill="1" applyBorder="1" applyAlignment="1">
      <alignment horizontal="center"/>
    </xf>
    <xf numFmtId="3" fontId="0" fillId="0" borderId="45" xfId="0" applyNumberFormat="1" applyBorder="1" applyAlignment="1">
      <alignment horizontal="center" vertical="center"/>
    </xf>
    <xf numFmtId="0" fontId="3" fillId="12" borderId="45" xfId="0" applyFont="1" applyFill="1" applyBorder="1"/>
    <xf numFmtId="3" fontId="3" fillId="12" borderId="45" xfId="0" applyNumberFormat="1" applyFont="1" applyFill="1" applyBorder="1" applyAlignment="1">
      <alignment horizontal="center" vertical="center"/>
    </xf>
    <xf numFmtId="3" fontId="0" fillId="0" borderId="39" xfId="2" applyNumberFormat="1" applyFont="1" applyBorder="1" applyAlignment="1">
      <alignment vertical="center" wrapText="1"/>
    </xf>
    <xf numFmtId="3" fontId="0" fillId="0" borderId="40" xfId="2" applyNumberFormat="1" applyFont="1" applyBorder="1" applyAlignment="1">
      <alignment vertical="center" wrapText="1"/>
    </xf>
    <xf numFmtId="3" fontId="0" fillId="16" borderId="41" xfId="2" applyNumberFormat="1" applyFont="1" applyFill="1" applyBorder="1" applyAlignment="1">
      <alignment vertical="center"/>
    </xf>
    <xf numFmtId="3" fontId="0" fillId="16" borderId="40" xfId="2" applyNumberFormat="1" applyFont="1" applyFill="1" applyBorder="1" applyAlignment="1">
      <alignment vertical="center"/>
    </xf>
    <xf numFmtId="3" fontId="0" fillId="0" borderId="43" xfId="2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0" fillId="0" borderId="40" xfId="2" applyNumberFormat="1" applyFont="1" applyBorder="1" applyAlignment="1">
      <alignment vertical="center"/>
    </xf>
    <xf numFmtId="166" fontId="1" fillId="0" borderId="12" xfId="2" applyNumberFormat="1" applyFont="1" applyFill="1" applyBorder="1" applyAlignment="1" applyProtection="1">
      <alignment horizontal="center"/>
      <protection locked="0"/>
    </xf>
    <xf numFmtId="166" fontId="1" fillId="0" borderId="0" xfId="2" applyNumberFormat="1" applyFont="1" applyFill="1" applyBorder="1" applyAlignment="1" applyProtection="1">
      <alignment horizontal="center"/>
      <protection locked="0"/>
    </xf>
    <xf numFmtId="166" fontId="1" fillId="0" borderId="21" xfId="2" applyNumberFormat="1" applyFont="1" applyFill="1" applyBorder="1" applyAlignment="1" applyProtection="1">
      <alignment horizontal="center"/>
      <protection locked="0"/>
    </xf>
    <xf numFmtId="166" fontId="1" fillId="0" borderId="12" xfId="2" applyNumberFormat="1" applyFont="1" applyFill="1" applyBorder="1" applyAlignment="1">
      <alignment horizontal="center" vertical="center"/>
    </xf>
    <xf numFmtId="166" fontId="1" fillId="0" borderId="0" xfId="2" applyNumberFormat="1" applyFont="1" applyFill="1" applyBorder="1" applyAlignment="1">
      <alignment horizontal="center" vertical="center"/>
    </xf>
    <xf numFmtId="166" fontId="1" fillId="0" borderId="21" xfId="2" applyNumberFormat="1" applyFont="1" applyFill="1" applyBorder="1" applyAlignment="1">
      <alignment horizontal="center" vertical="center"/>
    </xf>
    <xf numFmtId="166" fontId="1" fillId="0" borderId="12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166" fontId="1" fillId="0" borderId="21" xfId="2" applyNumberFormat="1" applyFont="1" applyFill="1" applyBorder="1" applyAlignment="1">
      <alignment horizontal="center"/>
    </xf>
    <xf numFmtId="166" fontId="1" fillId="0" borderId="22" xfId="2" applyNumberFormat="1" applyFont="1" applyFill="1" applyBorder="1" applyAlignment="1" applyProtection="1">
      <alignment horizontal="center"/>
      <protection locked="0"/>
    </xf>
    <xf numFmtId="166" fontId="1" fillId="0" borderId="4" xfId="2" applyNumberFormat="1" applyFont="1" applyFill="1" applyBorder="1" applyAlignment="1" applyProtection="1">
      <alignment horizontal="center"/>
      <protection locked="0"/>
    </xf>
    <xf numFmtId="166" fontId="1" fillId="0" borderId="23" xfId="2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/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0" fillId="6" borderId="6" xfId="0" applyFill="1" applyBorder="1"/>
    <xf numFmtId="0" fontId="0" fillId="6" borderId="7" xfId="0" applyFill="1" applyBorder="1"/>
    <xf numFmtId="0" fontId="2" fillId="6" borderId="28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1" fillId="6" borderId="2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6" fillId="0" borderId="0" xfId="0" applyFont="1"/>
    <xf numFmtId="14" fontId="59" fillId="0" borderId="0" xfId="0" applyNumberFormat="1" applyFont="1"/>
    <xf numFmtId="0" fontId="6" fillId="25" borderId="0" xfId="0" applyFont="1" applyFill="1"/>
    <xf numFmtId="0" fontId="0" fillId="25" borderId="0" xfId="0" applyFill="1"/>
    <xf numFmtId="0" fontId="0" fillId="25" borderId="0" xfId="0" applyFill="1" applyAlignment="1">
      <alignment horizontal="left"/>
    </xf>
    <xf numFmtId="0" fontId="6" fillId="25" borderId="44" xfId="0" applyFont="1" applyFill="1" applyBorder="1"/>
    <xf numFmtId="0" fontId="0" fillId="25" borderId="44" xfId="0" applyFill="1" applyBorder="1"/>
    <xf numFmtId="0" fontId="0" fillId="25" borderId="44" xfId="0" applyFill="1" applyBorder="1" applyAlignment="1">
      <alignment horizontal="left"/>
    </xf>
    <xf numFmtId="164" fontId="6" fillId="0" borderId="53" xfId="1" applyNumberFormat="1" applyFont="1" applyFill="1" applyBorder="1" applyAlignment="1">
      <alignment horizontal="center" vertical="center"/>
    </xf>
    <xf numFmtId="164" fontId="6" fillId="0" borderId="45" xfId="1" applyNumberFormat="1" applyFont="1" applyFill="1" applyBorder="1" applyAlignment="1">
      <alignment horizontal="center" vertical="center"/>
    </xf>
    <xf numFmtId="164" fontId="6" fillId="0" borderId="54" xfId="1" applyNumberFormat="1" applyFont="1" applyFill="1" applyBorder="1" applyAlignment="1">
      <alignment horizontal="center" vertical="center"/>
    </xf>
    <xf numFmtId="9" fontId="0" fillId="0" borderId="34" xfId="2" applyFont="1" applyBorder="1" applyAlignment="1">
      <alignment wrapText="1"/>
    </xf>
    <xf numFmtId="0" fontId="53" fillId="11" borderId="55" xfId="0" applyFont="1" applyFill="1" applyBorder="1" applyAlignment="1">
      <alignment horizontal="center" vertical="center"/>
    </xf>
    <xf numFmtId="0" fontId="53" fillId="11" borderId="46" xfId="0" applyFont="1" applyFill="1" applyBorder="1" applyAlignment="1">
      <alignment horizontal="center" vertical="center"/>
    </xf>
    <xf numFmtId="0" fontId="53" fillId="11" borderId="56" xfId="0" applyFont="1" applyFill="1" applyBorder="1" applyAlignment="1">
      <alignment horizontal="center" vertical="center"/>
    </xf>
    <xf numFmtId="0" fontId="54" fillId="24" borderId="59" xfId="0" applyFont="1" applyFill="1" applyBorder="1" applyAlignment="1">
      <alignment horizontal="center" vertical="center"/>
    </xf>
    <xf numFmtId="0" fontId="54" fillId="24" borderId="51" xfId="0" applyFont="1" applyFill="1" applyBorder="1" applyAlignment="1">
      <alignment horizontal="center" vertical="center"/>
    </xf>
    <xf numFmtId="0" fontId="54" fillId="24" borderId="6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wrapText="1"/>
    </xf>
    <xf numFmtId="43" fontId="0" fillId="0" borderId="0" xfId="1" applyFont="1"/>
    <xf numFmtId="164" fontId="0" fillId="0" borderId="0" xfId="0" applyNumberFormat="1"/>
    <xf numFmtId="0" fontId="0" fillId="27" borderId="7" xfId="0" applyFill="1" applyBorder="1"/>
    <xf numFmtId="3" fontId="2" fillId="27" borderId="17" xfId="0" applyNumberFormat="1" applyFont="1" applyFill="1" applyBorder="1"/>
    <xf numFmtId="0" fontId="0" fillId="27" borderId="6" xfId="0" applyFill="1" applyBorder="1"/>
    <xf numFmtId="0" fontId="0" fillId="27" borderId="8" xfId="0" applyFill="1" applyBorder="1"/>
    <xf numFmtId="3" fontId="2" fillId="27" borderId="15" xfId="0" applyNumberFormat="1" applyFont="1" applyFill="1" applyBorder="1"/>
    <xf numFmtId="3" fontId="2" fillId="27" borderId="35" xfId="0" applyNumberFormat="1" applyFont="1" applyFill="1" applyBorder="1"/>
    <xf numFmtId="0" fontId="2" fillId="27" borderId="48" xfId="0" applyFont="1" applyFill="1" applyBorder="1" applyAlignment="1">
      <alignment horizontal="center" vertical="center"/>
    </xf>
    <xf numFmtId="0" fontId="2" fillId="27" borderId="3" xfId="0" applyFont="1" applyFill="1" applyBorder="1" applyAlignment="1">
      <alignment horizontal="center" vertical="center"/>
    </xf>
    <xf numFmtId="0" fontId="2" fillId="27" borderId="2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50" fillId="0" borderId="0" xfId="0" applyFont="1" applyBorder="1"/>
    <xf numFmtId="0" fontId="0" fillId="0" borderId="0" xfId="0" applyFill="1" applyBorder="1"/>
    <xf numFmtId="168" fontId="52" fillId="0" borderId="61" xfId="2" applyNumberFormat="1" applyFont="1" applyFill="1" applyBorder="1" applyAlignment="1">
      <alignment horizontal="center" vertical="center"/>
    </xf>
    <xf numFmtId="168" fontId="52" fillId="0" borderId="52" xfId="2" applyNumberFormat="1" applyFont="1" applyFill="1" applyBorder="1" applyAlignment="1">
      <alignment horizontal="center" vertical="center"/>
    </xf>
    <xf numFmtId="166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9" fontId="0" fillId="0" borderId="0" xfId="2" applyFont="1"/>
    <xf numFmtId="0" fontId="15" fillId="3" borderId="0" xfId="0" applyFont="1" applyFill="1" applyBorder="1" applyAlignment="1">
      <alignment vertical="center"/>
    </xf>
    <xf numFmtId="0" fontId="0" fillId="0" borderId="0" xfId="0" applyAlignment="1"/>
    <xf numFmtId="0" fontId="3" fillId="25" borderId="44" xfId="0" applyFont="1" applyFill="1" applyBorder="1" applyAlignment="1">
      <alignment horizontal="center" wrapText="1"/>
    </xf>
    <xf numFmtId="165" fontId="2" fillId="7" borderId="15" xfId="0" applyNumberFormat="1" applyFont="1" applyFill="1" applyBorder="1"/>
    <xf numFmtId="165" fontId="2" fillId="7" borderId="17" xfId="0" applyNumberFormat="1" applyFont="1" applyFill="1" applyBorder="1"/>
    <xf numFmtId="165" fontId="2" fillId="7" borderId="35" xfId="0" applyNumberFormat="1" applyFont="1" applyFill="1" applyBorder="1"/>
    <xf numFmtId="0" fontId="0" fillId="6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61" fillId="0" borderId="2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0" fillId="6" borderId="8" xfId="0" applyFill="1" applyBorder="1"/>
    <xf numFmtId="0" fontId="2" fillId="6" borderId="20" xfId="0" applyFont="1" applyFill="1" applyBorder="1"/>
    <xf numFmtId="0" fontId="0" fillId="3" borderId="8" xfId="0" applyFill="1" applyBorder="1"/>
    <xf numFmtId="0" fontId="2" fillId="3" borderId="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3" fontId="2" fillId="3" borderId="29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2" fillId="3" borderId="35" xfId="0" applyNumberFormat="1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2" fillId="6" borderId="29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3" fontId="2" fillId="6" borderId="35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2" fillId="5" borderId="35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/>
    </xf>
    <xf numFmtId="0" fontId="15" fillId="5" borderId="2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5" fillId="28" borderId="0" xfId="0" applyFont="1" applyFill="1" applyAlignment="1">
      <alignment horizontal="center" vertical="center" wrapText="1"/>
    </xf>
    <xf numFmtId="167" fontId="4" fillId="28" borderId="0" xfId="0" applyNumberFormat="1" applyFont="1" applyFill="1" applyAlignment="1">
      <alignment horizontal="center" vertical="center"/>
    </xf>
    <xf numFmtId="0" fontId="4" fillId="28" borderId="12" xfId="0" applyFont="1" applyFill="1" applyBorder="1" applyAlignment="1">
      <alignment horizontal="center"/>
    </xf>
    <xf numFmtId="0" fontId="4" fillId="28" borderId="0" xfId="0" applyFont="1" applyFill="1" applyBorder="1" applyAlignment="1">
      <alignment horizontal="center"/>
    </xf>
    <xf numFmtId="0" fontId="4" fillId="28" borderId="30" xfId="0" applyFont="1" applyFill="1" applyBorder="1" applyAlignment="1">
      <alignment horizontal="center"/>
    </xf>
    <xf numFmtId="2" fontId="4" fillId="28" borderId="0" xfId="0" applyNumberFormat="1" applyFont="1" applyFill="1" applyBorder="1" applyAlignment="1">
      <alignment horizontal="center"/>
    </xf>
    <xf numFmtId="2" fontId="4" fillId="28" borderId="31" xfId="0" applyNumberFormat="1" applyFont="1" applyFill="1" applyBorder="1" applyAlignment="1">
      <alignment horizontal="center"/>
    </xf>
    <xf numFmtId="0" fontId="0" fillId="28" borderId="21" xfId="0" applyFill="1" applyBorder="1" applyAlignment="1">
      <alignment horizontal="center"/>
    </xf>
    <xf numFmtId="0" fontId="4" fillId="28" borderId="12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4" fillId="28" borderId="21" xfId="0" applyFont="1" applyFill="1" applyBorder="1" applyAlignment="1">
      <alignment horizontal="center" vertical="center"/>
    </xf>
    <xf numFmtId="166" fontId="0" fillId="28" borderId="12" xfId="2" applyNumberFormat="1" applyFont="1" applyFill="1" applyBorder="1" applyAlignment="1">
      <alignment horizontal="center"/>
    </xf>
    <xf numFmtId="166" fontId="0" fillId="28" borderId="0" xfId="2" applyNumberFormat="1" applyFont="1" applyFill="1" applyBorder="1" applyAlignment="1">
      <alignment horizontal="center"/>
    </xf>
    <xf numFmtId="166" fontId="0" fillId="28" borderId="21" xfId="2" applyNumberFormat="1" applyFont="1" applyFill="1" applyBorder="1" applyAlignment="1">
      <alignment horizontal="center"/>
    </xf>
    <xf numFmtId="2" fontId="0" fillId="28" borderId="12" xfId="0" applyNumberFormat="1" applyFill="1" applyBorder="1" applyAlignment="1">
      <alignment horizontal="center"/>
    </xf>
    <xf numFmtId="2" fontId="4" fillId="28" borderId="0" xfId="0" applyNumberFormat="1" applyFont="1" applyFill="1" applyBorder="1" applyAlignment="1">
      <alignment horizontal="center" vertical="center"/>
    </xf>
    <xf numFmtId="2" fontId="4" fillId="28" borderId="21" xfId="0" applyNumberFormat="1" applyFont="1" applyFill="1" applyBorder="1" applyAlignment="1">
      <alignment horizontal="center"/>
    </xf>
    <xf numFmtId="165" fontId="4" fillId="28" borderId="12" xfId="1" applyNumberFormat="1" applyFont="1" applyFill="1" applyBorder="1" applyAlignment="1">
      <alignment horizontal="center"/>
    </xf>
    <xf numFmtId="165" fontId="4" fillId="28" borderId="0" xfId="1" applyNumberFormat="1" applyFont="1" applyFill="1" applyBorder="1" applyAlignment="1">
      <alignment horizontal="center"/>
    </xf>
    <xf numFmtId="3" fontId="0" fillId="28" borderId="12" xfId="0" applyNumberFormat="1" applyFill="1" applyBorder="1" applyAlignment="1">
      <alignment horizontal="center"/>
    </xf>
    <xf numFmtId="3" fontId="0" fillId="28" borderId="0" xfId="0" applyNumberFormat="1" applyFill="1" applyBorder="1" applyAlignment="1">
      <alignment horizontal="center"/>
    </xf>
    <xf numFmtId="3" fontId="0" fillId="28" borderId="21" xfId="0" applyNumberFormat="1" applyFill="1" applyBorder="1" applyAlignment="1">
      <alignment horizontal="center"/>
    </xf>
    <xf numFmtId="3" fontId="0" fillId="28" borderId="0" xfId="2" applyNumberFormat="1" applyFont="1" applyFill="1" applyBorder="1" applyAlignment="1">
      <alignment horizontal="center"/>
    </xf>
    <xf numFmtId="9" fontId="0" fillId="28" borderId="0" xfId="2" applyFont="1" applyFill="1" applyBorder="1" applyAlignment="1">
      <alignment horizontal="center"/>
    </xf>
    <xf numFmtId="3" fontId="14" fillId="28" borderId="12" xfId="0" applyNumberFormat="1" applyFont="1" applyFill="1" applyBorder="1"/>
    <xf numFmtId="3" fontId="14" fillId="28" borderId="0" xfId="0" applyNumberFormat="1" applyFont="1" applyFill="1" applyBorder="1"/>
    <xf numFmtId="3" fontId="14" fillId="28" borderId="21" xfId="0" applyNumberFormat="1" applyFont="1" applyFill="1" applyBorder="1"/>
    <xf numFmtId="0" fontId="0" fillId="28" borderId="0" xfId="0" applyFill="1"/>
    <xf numFmtId="0" fontId="0" fillId="0" borderId="12" xfId="0" applyBorder="1"/>
    <xf numFmtId="0" fontId="0" fillId="0" borderId="21" xfId="0" applyBorder="1"/>
    <xf numFmtId="0" fontId="5" fillId="28" borderId="0" xfId="0" applyFont="1" applyFill="1" applyAlignment="1">
      <alignment horizontal="center" vertical="center"/>
    </xf>
    <xf numFmtId="2" fontId="4" fillId="28" borderId="12" xfId="0" applyNumberFormat="1" applyFont="1" applyFill="1" applyBorder="1" applyAlignment="1">
      <alignment horizontal="center"/>
    </xf>
    <xf numFmtId="3" fontId="0" fillId="28" borderId="0" xfId="2" applyNumberFormat="1" applyFont="1" applyFill="1" applyAlignment="1">
      <alignment horizontal="center"/>
    </xf>
    <xf numFmtId="9" fontId="0" fillId="28" borderId="0" xfId="2" applyFont="1" applyFill="1" applyAlignment="1">
      <alignment horizontal="center"/>
    </xf>
    <xf numFmtId="0" fontId="4" fillId="28" borderId="17" xfId="0" applyFont="1" applyFill="1" applyBorder="1" applyAlignment="1">
      <alignment horizontal="center"/>
    </xf>
    <xf numFmtId="0" fontId="4" fillId="28" borderId="49" xfId="0" applyFont="1" applyFill="1" applyBorder="1" applyAlignment="1">
      <alignment horizontal="center"/>
    </xf>
    <xf numFmtId="2" fontId="4" fillId="28" borderId="17" xfId="0" applyNumberFormat="1" applyFont="1" applyFill="1" applyBorder="1" applyAlignment="1">
      <alignment horizontal="center"/>
    </xf>
    <xf numFmtId="2" fontId="4" fillId="28" borderId="50" xfId="0" applyNumberFormat="1" applyFont="1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4" fillId="28" borderId="15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35" xfId="0" applyFont="1" applyFill="1" applyBorder="1" applyAlignment="1">
      <alignment horizontal="center" vertical="center"/>
    </xf>
    <xf numFmtId="166" fontId="0" fillId="28" borderId="15" xfId="2" applyNumberFormat="1" applyFont="1" applyFill="1" applyBorder="1" applyAlignment="1">
      <alignment horizontal="center"/>
    </xf>
    <xf numFmtId="166" fontId="0" fillId="28" borderId="17" xfId="2" applyNumberFormat="1" applyFont="1" applyFill="1" applyBorder="1" applyAlignment="1">
      <alignment horizontal="center"/>
    </xf>
    <xf numFmtId="166" fontId="0" fillId="28" borderId="35" xfId="2" applyNumberFormat="1" applyFont="1" applyFill="1" applyBorder="1" applyAlignment="1">
      <alignment horizontal="center"/>
    </xf>
    <xf numFmtId="2" fontId="4" fillId="28" borderId="15" xfId="0" applyNumberFormat="1" applyFont="1" applyFill="1" applyBorder="1" applyAlignment="1">
      <alignment horizontal="center"/>
    </xf>
    <xf numFmtId="2" fontId="4" fillId="28" borderId="17" xfId="0" applyNumberFormat="1" applyFont="1" applyFill="1" applyBorder="1" applyAlignment="1">
      <alignment horizontal="center" vertical="center"/>
    </xf>
    <xf numFmtId="2" fontId="4" fillId="28" borderId="35" xfId="0" applyNumberFormat="1" applyFont="1" applyFill="1" applyBorder="1" applyAlignment="1">
      <alignment horizontal="center"/>
    </xf>
    <xf numFmtId="165" fontId="4" fillId="28" borderId="15" xfId="1" applyNumberFormat="1" applyFont="1" applyFill="1" applyBorder="1" applyAlignment="1">
      <alignment horizontal="center"/>
    </xf>
    <xf numFmtId="165" fontId="4" fillId="28" borderId="17" xfId="1" applyNumberFormat="1" applyFont="1" applyFill="1" applyBorder="1" applyAlignment="1">
      <alignment horizontal="center"/>
    </xf>
    <xf numFmtId="3" fontId="0" fillId="28" borderId="15" xfId="0" applyNumberFormat="1" applyFill="1" applyBorder="1" applyAlignment="1">
      <alignment horizontal="center"/>
    </xf>
    <xf numFmtId="3" fontId="0" fillId="28" borderId="17" xfId="0" applyNumberFormat="1" applyFill="1" applyBorder="1" applyAlignment="1">
      <alignment horizontal="center"/>
    </xf>
    <xf numFmtId="3" fontId="0" fillId="28" borderId="35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22" fillId="0" borderId="0" xfId="0" applyFont="1" applyBorder="1"/>
    <xf numFmtId="168" fontId="52" fillId="0" borderId="62" xfId="2" applyNumberFormat="1" applyFont="1" applyFill="1" applyBorder="1" applyAlignment="1">
      <alignment horizontal="center" vertical="center"/>
    </xf>
    <xf numFmtId="0" fontId="3" fillId="23" borderId="63" xfId="0" applyFont="1" applyFill="1" applyBorder="1" applyAlignment="1">
      <alignment vertical="center" wrapText="1"/>
    </xf>
    <xf numFmtId="3" fontId="0" fillId="0" borderId="64" xfId="0" applyNumberFormat="1" applyBorder="1" applyAlignment="1">
      <alignment vertical="center" wrapText="1"/>
    </xf>
    <xf numFmtId="0" fontId="3" fillId="12" borderId="37" xfId="0" applyFont="1" applyFill="1" applyBorder="1" applyAlignment="1">
      <alignment wrapText="1"/>
    </xf>
    <xf numFmtId="0" fontId="0" fillId="0" borderId="64" xfId="0" applyBorder="1" applyAlignment="1">
      <alignment vertical="center" wrapText="1"/>
    </xf>
    <xf numFmtId="3" fontId="0" fillId="0" borderId="65" xfId="0" applyNumberFormat="1" applyBorder="1" applyAlignment="1">
      <alignment vertical="center" wrapText="1"/>
    </xf>
    <xf numFmtId="3" fontId="0" fillId="0" borderId="41" xfId="2" applyNumberFormat="1" applyFont="1" applyBorder="1" applyAlignment="1">
      <alignment vertical="center" wrapText="1"/>
    </xf>
    <xf numFmtId="0" fontId="3" fillId="23" borderId="68" xfId="0" applyFont="1" applyFill="1" applyBorder="1" applyAlignment="1">
      <alignment vertical="center" wrapText="1"/>
    </xf>
    <xf numFmtId="3" fontId="0" fillId="0" borderId="34" xfId="2" applyNumberFormat="1" applyFont="1" applyBorder="1" applyAlignment="1">
      <alignment vertical="center" wrapText="1"/>
    </xf>
    <xf numFmtId="3" fontId="0" fillId="0" borderId="69" xfId="2" applyNumberFormat="1" applyFont="1" applyBorder="1" applyAlignment="1">
      <alignment vertical="center" wrapText="1"/>
    </xf>
    <xf numFmtId="3" fontId="0" fillId="16" borderId="34" xfId="2" applyNumberFormat="1" applyFont="1" applyFill="1" applyBorder="1" applyAlignment="1">
      <alignment vertical="center"/>
    </xf>
    <xf numFmtId="3" fontId="0" fillId="16" borderId="34" xfId="2" applyNumberFormat="1" applyFont="1" applyFill="1" applyBorder="1" applyAlignment="1">
      <alignment vertical="center" wrapText="1"/>
    </xf>
    <xf numFmtId="3" fontId="0" fillId="16" borderId="40" xfId="0" applyNumberFormat="1" applyFill="1" applyBorder="1" applyAlignment="1">
      <alignment wrapText="1"/>
    </xf>
    <xf numFmtId="3" fontId="0" fillId="16" borderId="40" xfId="0" applyNumberFormat="1" applyFill="1" applyBorder="1"/>
    <xf numFmtId="3" fontId="3" fillId="21" borderId="44" xfId="0" applyNumberFormat="1" applyFont="1" applyFill="1" applyBorder="1" applyAlignment="1">
      <alignment horizontal="center" vertical="center"/>
    </xf>
    <xf numFmtId="0" fontId="3" fillId="21" borderId="66" xfId="0" applyFont="1" applyFill="1" applyBorder="1" applyAlignment="1">
      <alignment horizontal="center" vertical="center" wrapText="1"/>
    </xf>
    <xf numFmtId="3" fontId="3" fillId="21" borderId="67" xfId="2" applyNumberFormat="1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/>
    </xf>
    <xf numFmtId="0" fontId="0" fillId="0" borderId="45" xfId="0" applyFill="1" applyBorder="1"/>
    <xf numFmtId="164" fontId="60" fillId="0" borderId="34" xfId="0" applyNumberFormat="1" applyFont="1" applyFill="1" applyBorder="1" applyAlignment="1">
      <alignment horizontal="left"/>
    </xf>
    <xf numFmtId="164" fontId="60" fillId="0" borderId="34" xfId="0" applyNumberFormat="1" applyFont="1" applyFill="1" applyBorder="1" applyAlignment="1">
      <alignment horizontal="center"/>
    </xf>
    <xf numFmtId="0" fontId="60" fillId="0" borderId="34" xfId="0" applyFont="1" applyFill="1" applyBorder="1" applyAlignment="1">
      <alignment horizontal="center"/>
    </xf>
    <xf numFmtId="0" fontId="30" fillId="3" borderId="6" xfId="0" applyFont="1" applyFill="1" applyBorder="1" applyAlignment="1">
      <alignment horizontal="center" wrapText="1"/>
    </xf>
    <xf numFmtId="0" fontId="30" fillId="3" borderId="7" xfId="0" applyFont="1" applyFill="1" applyBorder="1" applyAlignment="1">
      <alignment horizontal="center" wrapText="1"/>
    </xf>
    <xf numFmtId="0" fontId="30" fillId="3" borderId="8" xfId="0" applyFont="1" applyFill="1" applyBorder="1" applyAlignment="1">
      <alignment horizontal="center" wrapText="1"/>
    </xf>
    <xf numFmtId="164" fontId="6" fillId="0" borderId="70" xfId="1" applyNumberFormat="1" applyFont="1" applyFill="1" applyBorder="1" applyAlignment="1">
      <alignment horizontal="center" vertical="center"/>
    </xf>
    <xf numFmtId="164" fontId="6" fillId="0" borderId="71" xfId="1" applyNumberFormat="1" applyFont="1" applyFill="1" applyBorder="1" applyAlignment="1">
      <alignment horizontal="center" vertical="center"/>
    </xf>
    <xf numFmtId="164" fontId="6" fillId="0" borderId="72" xfId="1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/>
    <xf numFmtId="0" fontId="2" fillId="8" borderId="20" xfId="0" applyFont="1" applyFill="1" applyBorder="1" applyAlignment="1">
      <alignment horizontal="center" vertical="center"/>
    </xf>
    <xf numFmtId="3" fontId="2" fillId="8" borderId="21" xfId="0" applyNumberFormat="1" applyFont="1" applyFill="1" applyBorder="1"/>
    <xf numFmtId="3" fontId="2" fillId="8" borderId="35" xfId="0" applyNumberFormat="1" applyFont="1" applyFill="1" applyBorder="1"/>
    <xf numFmtId="165" fontId="2" fillId="22" borderId="4" xfId="0" applyNumberFormat="1" applyFont="1" applyFill="1" applyBorder="1"/>
    <xf numFmtId="165" fontId="2" fillId="22" borderId="15" xfId="0" applyNumberFormat="1" applyFont="1" applyFill="1" applyBorder="1"/>
    <xf numFmtId="165" fontId="2" fillId="22" borderId="17" xfId="0" applyNumberFormat="1" applyFont="1" applyFill="1" applyBorder="1"/>
    <xf numFmtId="165" fontId="2" fillId="22" borderId="35" xfId="0" applyNumberFormat="1" applyFont="1" applyFill="1" applyBorder="1"/>
    <xf numFmtId="0" fontId="4" fillId="28" borderId="15" xfId="0" applyFont="1" applyFill="1" applyBorder="1" applyAlignment="1">
      <alignment horizontal="center"/>
    </xf>
    <xf numFmtId="169" fontId="49" fillId="0" borderId="57" xfId="0" applyNumberFormat="1" applyFont="1" applyFill="1" applyBorder="1" applyAlignment="1">
      <alignment horizontal="center" vertical="center"/>
    </xf>
    <xf numFmtId="169" fontId="49" fillId="0" borderId="47" xfId="0" applyNumberFormat="1" applyFont="1" applyFill="1" applyBorder="1" applyAlignment="1">
      <alignment horizontal="center" vertical="center"/>
    </xf>
    <xf numFmtId="169" fontId="49" fillId="0" borderId="58" xfId="0" applyNumberFormat="1" applyFont="1" applyFill="1" applyBorder="1" applyAlignment="1">
      <alignment horizontal="center" vertical="center"/>
    </xf>
    <xf numFmtId="169" fontId="49" fillId="0" borderId="57" xfId="0" quotePrefix="1" applyNumberFormat="1" applyFont="1" applyFill="1" applyBorder="1" applyAlignment="1">
      <alignment horizontal="center" vertical="center"/>
    </xf>
    <xf numFmtId="169" fontId="49" fillId="0" borderId="47" xfId="0" quotePrefix="1" applyNumberFormat="1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164" fontId="17" fillId="5" borderId="24" xfId="0" applyNumberFormat="1" applyFont="1" applyFill="1" applyBorder="1" applyAlignment="1" applyProtection="1">
      <alignment horizontal="center"/>
      <protection locked="0"/>
    </xf>
    <xf numFmtId="164" fontId="17" fillId="5" borderId="25" xfId="0" applyNumberFormat="1" applyFont="1" applyFill="1" applyBorder="1" applyAlignment="1" applyProtection="1">
      <alignment horizontal="center"/>
      <protection locked="0"/>
    </xf>
    <xf numFmtId="164" fontId="17" fillId="5" borderId="26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34" fillId="3" borderId="0" xfId="0" applyFont="1" applyFill="1" applyAlignment="1">
      <alignment horizontal="center"/>
    </xf>
    <xf numFmtId="0" fontId="15" fillId="13" borderId="61" xfId="0" applyFont="1" applyFill="1" applyBorder="1" applyAlignment="1">
      <alignment horizontal="left" vertical="center" wrapText="1"/>
    </xf>
    <xf numFmtId="0" fontId="15" fillId="13" borderId="52" xfId="0" applyFont="1" applyFill="1" applyBorder="1" applyAlignment="1">
      <alignment horizontal="left" vertical="center" wrapText="1"/>
    </xf>
    <xf numFmtId="0" fontId="15" fillId="13" borderId="62" xfId="0" applyFont="1" applyFill="1" applyBorder="1" applyAlignment="1">
      <alignment horizontal="left" vertical="center" wrapText="1"/>
    </xf>
    <xf numFmtId="169" fontId="45" fillId="5" borderId="0" xfId="0" applyNumberFormat="1" applyFont="1" applyFill="1" applyAlignment="1">
      <alignment horizontal="center" wrapText="1"/>
    </xf>
    <xf numFmtId="169" fontId="45" fillId="7" borderId="0" xfId="0" applyNumberFormat="1" applyFont="1" applyFill="1" applyAlignment="1">
      <alignment horizontal="center"/>
    </xf>
    <xf numFmtId="0" fontId="43" fillId="5" borderId="0" xfId="0" applyFont="1" applyFill="1" applyBorder="1" applyAlignment="1">
      <alignment horizontal="center" vertical="top" wrapText="1"/>
    </xf>
    <xf numFmtId="0" fontId="43" fillId="7" borderId="0" xfId="0" applyFont="1" applyFill="1" applyAlignment="1">
      <alignment horizontal="center" vertical="top" wrapText="1"/>
    </xf>
    <xf numFmtId="169" fontId="40" fillId="3" borderId="0" xfId="0" applyNumberFormat="1" applyFont="1" applyFill="1" applyAlignment="1">
      <alignment horizontal="center" wrapText="1"/>
    </xf>
    <xf numFmtId="0" fontId="41" fillId="3" borderId="0" xfId="0" applyFont="1" applyFill="1" applyAlignment="1">
      <alignment horizontal="center" vertical="top" wrapText="1"/>
    </xf>
    <xf numFmtId="0" fontId="15" fillId="3" borderId="57" xfId="0" applyFont="1" applyFill="1" applyBorder="1" applyAlignment="1">
      <alignment horizontal="left" vertical="center" wrapText="1"/>
    </xf>
    <xf numFmtId="0" fontId="15" fillId="3" borderId="47" xfId="0" applyFont="1" applyFill="1" applyBorder="1" applyAlignment="1">
      <alignment horizontal="left" vertical="center" wrapText="1"/>
    </xf>
    <xf numFmtId="0" fontId="15" fillId="3" borderId="58" xfId="0" applyFont="1" applyFill="1" applyBorder="1" applyAlignment="1">
      <alignment horizontal="left" vertical="center" wrapText="1"/>
    </xf>
    <xf numFmtId="0" fontId="15" fillId="7" borderId="0" xfId="0" applyFont="1" applyFill="1" applyAlignment="1">
      <alignment horizontal="lef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37" fontId="39" fillId="3" borderId="0" xfId="0" applyNumberFormat="1" applyFont="1" applyFill="1" applyAlignment="1">
      <alignment horizontal="left" vertical="center" wrapText="1"/>
    </xf>
    <xf numFmtId="0" fontId="44" fillId="26" borderId="0" xfId="0" applyFont="1" applyFill="1" applyAlignment="1">
      <alignment horizontal="center" vertical="center" wrapText="1"/>
    </xf>
    <xf numFmtId="169" fontId="45" fillId="13" borderId="0" xfId="0" applyNumberFormat="1" applyFont="1" applyFill="1" applyAlignment="1">
      <alignment horizontal="right" vertical="center"/>
    </xf>
    <xf numFmtId="0" fontId="43" fillId="13" borderId="0" xfId="0" applyFont="1" applyFill="1" applyAlignment="1">
      <alignment horizontal="left" vertical="center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1" borderId="0" xfId="0" applyFont="1" applyFill="1" applyAlignment="1">
      <alignment horizontal="left"/>
    </xf>
    <xf numFmtId="0" fontId="55" fillId="3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1"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Utilitsatrices</a:t>
            </a:r>
            <a:r>
              <a:rPr lang="en-US" baseline="0">
                <a:solidFill>
                  <a:sysClr val="windowText" lastClr="000000"/>
                </a:solidFill>
              </a:rPr>
              <a:t> additionelles : objectif et estimation actuelle et projettée  </a:t>
            </a:r>
            <a:endParaRPr lang="en-US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0653491015494999"/>
          <c:y val="1.49947489540949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837022764660623E-2"/>
          <c:y val="0.25826858010308346"/>
          <c:w val="0.89990844633221367"/>
          <c:h val="0.6209606021126267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'Country Handout (FR)'!$W$10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bg1"/>
              </a:solidFill>
            </a:ln>
            <a:effectLst/>
          </c:spPr>
          <c:invertIfNegative val="0"/>
          <c:cat>
            <c:numRef>
              <c:f>'Country Handout (FR)'!$X$9:$AC$9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'Country Handout (FR)'!$X$10:$AC$10</c:f>
              <c:numCache>
                <c:formatCode>#,##0</c:formatCode>
                <c:ptCount val="6"/>
                <c:pt idx="0">
                  <c:v>0</c:v>
                </c:pt>
                <c:pt idx="1">
                  <c:v>21000</c:v>
                </c:pt>
                <c:pt idx="2">
                  <c:v>21000</c:v>
                </c:pt>
                <c:pt idx="3">
                  <c:v>21000</c:v>
                </c:pt>
                <c:pt idx="4">
                  <c:v>21000</c:v>
                </c:pt>
                <c:pt idx="5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4-420F-830F-020F54BD229D}"/>
            </c:ext>
          </c:extLst>
        </c:ser>
        <c:ser>
          <c:idx val="5"/>
          <c:order val="1"/>
          <c:tx>
            <c:strRef>
              <c:f>'Country Handout (FR)'!$W$11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chemeClr val="bg1"/>
              </a:solidFill>
              <a:prstDash val="solid"/>
            </a:ln>
            <a:effectLst/>
          </c:spPr>
          <c:invertIfNegative val="0"/>
          <c:cat>
            <c:numRef>
              <c:f>'Country Handout (FR)'!$X$9:$AC$9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'Country Handout (FR)'!$X$11:$AC$11</c:f>
              <c:numCache>
                <c:formatCode>#,##0</c:formatCode>
                <c:ptCount val="6"/>
                <c:pt idx="2">
                  <c:v>23000</c:v>
                </c:pt>
                <c:pt idx="3">
                  <c:v>23000</c:v>
                </c:pt>
                <c:pt idx="4">
                  <c:v>23000</c:v>
                </c:pt>
                <c:pt idx="5">
                  <c:v>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4-420F-830F-020F54BD229D}"/>
            </c:ext>
          </c:extLst>
        </c:ser>
        <c:ser>
          <c:idx val="0"/>
          <c:order val="2"/>
          <c:tx>
            <c:strRef>
              <c:f>'Country Handout (FR)'!$W$12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chemeClr val="bg1"/>
              </a:solidFill>
            </a:ln>
            <a:effectLst/>
          </c:spPr>
          <c:invertIfNegative val="0"/>
          <c:cat>
            <c:numRef>
              <c:f>'Country Handout (FR)'!$X$9:$AC$9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'Country Handout (FR)'!$X$12:$AC$12</c:f>
              <c:numCache>
                <c:formatCode>#,##0</c:formatCode>
                <c:ptCount val="6"/>
                <c:pt idx="3">
                  <c:v>24000</c:v>
                </c:pt>
                <c:pt idx="4">
                  <c:v>24000</c:v>
                </c:pt>
                <c:pt idx="5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4-420F-830F-020F54BD229D}"/>
            </c:ext>
          </c:extLst>
        </c:ser>
        <c:ser>
          <c:idx val="1"/>
          <c:order val="3"/>
          <c:tx>
            <c:strRef>
              <c:f>'Country Handout (FR)'!$W$13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chemeClr val="bg1"/>
              </a:solidFill>
              <a:prstDash val="sysDot"/>
            </a:ln>
            <a:effectLst/>
          </c:spPr>
          <c:invertIfNegative val="0"/>
          <c:cat>
            <c:numRef>
              <c:f>'Country Handout (FR)'!$X$9:$AC$9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'Country Handout (FR)'!$X$13:$AC$13</c:f>
              <c:numCache>
                <c:formatCode>#,##0</c:formatCode>
                <c:ptCount val="6"/>
                <c:pt idx="4">
                  <c:v>29000</c:v>
                </c:pt>
                <c:pt idx="5">
                  <c:v>29000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44-420F-830F-020F54BD229D}"/>
            </c:ext>
          </c:extLst>
        </c:ser>
        <c:ser>
          <c:idx val="2"/>
          <c:order val="4"/>
          <c:tx>
            <c:strRef>
              <c:f>'Country Handout (FR)'!$W$14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'Country Handout (FR)'!$X$9:$AC$9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'Country Handout (FR)'!$X$14:$AC$14</c:f>
              <c:numCache>
                <c:formatCode>#,##0</c:formatCode>
                <c:ptCount val="6"/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44-420F-830F-020F54BD2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3490032"/>
        <c:axId val="223491344"/>
      </c:barChart>
      <c:lineChart>
        <c:grouping val="standard"/>
        <c:varyColors val="0"/>
        <c:ser>
          <c:idx val="3"/>
          <c:order val="5"/>
          <c:tx>
            <c:strRef>
              <c:f>'Country Handout (FR)'!$W$15</c:f>
              <c:strCache>
                <c:ptCount val="1"/>
                <c:pt idx="0">
                  <c:v>Objectif d'utilisatrices additionelles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44-420F-830F-020F54BD229D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'Country Handout (FR)'!$X$9:$AC$9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'Country Handout (FR)'!$X$15:$AC$15</c:f>
              <c:numCache>
                <c:formatCode>#,##0</c:formatCode>
                <c:ptCount val="6"/>
                <c:pt idx="0">
                  <c:v>141000</c:v>
                </c:pt>
                <c:pt idx="1">
                  <c:v>141000</c:v>
                </c:pt>
                <c:pt idx="2">
                  <c:v>141000</c:v>
                </c:pt>
                <c:pt idx="3">
                  <c:v>141000</c:v>
                </c:pt>
                <c:pt idx="4">
                  <c:v>141000</c:v>
                </c:pt>
                <c:pt idx="5">
                  <c:v>141000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44-420F-830F-020F54BD2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90032"/>
        <c:axId val="223491344"/>
      </c:lineChart>
      <c:catAx>
        <c:axId val="2234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91344"/>
        <c:crosses val="autoZero"/>
        <c:auto val="1"/>
        <c:lblAlgn val="ctr"/>
        <c:lblOffset val="100"/>
        <c:noMultiLvlLbl val="0"/>
      </c:catAx>
      <c:valAx>
        <c:axId val="2234913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9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bg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023589331163942E-2"/>
          <c:y val="0.12938634498510768"/>
          <c:w val="0.88509187792423105"/>
          <c:h val="8.3520611072533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noFill/>
    <a:ln w="28575" cap="flat" cmpd="sng" algn="ctr">
      <a:solidFill>
        <a:schemeClr val="tx2"/>
      </a:solidFill>
      <a:round/>
    </a:ln>
    <a:effectLst/>
  </c:spPr>
  <c:txPr>
    <a:bodyPr/>
    <a:lstStyle/>
    <a:p>
      <a:pPr>
        <a:defRPr sz="14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180521275572692E-2"/>
          <c:y val="0.17888231745323746"/>
          <c:w val="0.95675996563002041"/>
          <c:h val="0.64450272483459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'Country Handout (FR)'!$S$26</c:f>
              <c:strCache>
                <c:ptCount val="1"/>
                <c:pt idx="0">
                  <c:v>Stérilisation (f)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9525"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5-4851-AB97-152BDA93AF9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5-4851-AB97-152BDA93AF9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5-4851-AB97-152BDA93AF9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5-4851-AB97-152BDA93AF9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5-4851-AB97-152BDA93AF9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5-4851-AB97-152BDA93AF9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5-4851-AB97-152BDA93AF9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5-4851-AB97-152BDA93AF9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5-4851-AB97-152BDA93AF9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5-4851-AB97-152BDA93AF9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F3616AD-E83E-4905-B3E3-F670C0E6B3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'Country Handout (FR)'!$T$26</c:f>
              <c:numCache>
                <c:formatCode>0.0%</c:formatCode>
                <c:ptCount val="1"/>
                <c:pt idx="0">
                  <c:v>3.6842105263157891E-2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(FR)'!$U$26</c15:f>
                <c15:dlblRangeCache>
                  <c:ptCount val="1"/>
                  <c:pt idx="0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F5A5-4851-AB97-152BDA93AF97}"/>
            </c:ext>
          </c:extLst>
        </c:ser>
        <c:ser>
          <c:idx val="1"/>
          <c:order val="1"/>
          <c:tx>
            <c:strRef>
              <c:f>'Country Handout (FR)'!$S$27</c:f>
              <c:strCache>
                <c:ptCount val="1"/>
                <c:pt idx="0">
                  <c:v>Stérilisation (m)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</c:spPr>
          <c:invertIfNegative val="0"/>
          <c:val>
            <c:numRef>
              <c:f>'Country Handout (FR)'!$T$27</c:f>
              <c:numCache>
                <c:formatCode>0.0%</c:formatCode>
                <c:ptCount val="1"/>
                <c:pt idx="0">
                  <c:v>5.263157894736842E-3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5A5-4851-AB97-152BDA93AF97}"/>
            </c:ext>
          </c:extLst>
        </c:ser>
        <c:ser>
          <c:idx val="2"/>
          <c:order val="2"/>
          <c:tx>
            <c:strRef>
              <c:f>'Country Handout (FR)'!$S$28</c:f>
              <c:strCache>
                <c:ptCount val="1"/>
                <c:pt idx="0">
                  <c:v>DIU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B4C1077-9E78-46A3-8954-A5AF0DC37F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(FR)'!$T$28</c:f>
              <c:numCache>
                <c:formatCode>0.0%</c:formatCode>
                <c:ptCount val="1"/>
                <c:pt idx="0">
                  <c:v>3.6842105263157891E-2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(FR)'!$U$28</c15:f>
                <c15:dlblRangeCache>
                  <c:ptCount val="1"/>
                  <c:pt idx="0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F5A5-4851-AB97-152BDA93AF97}"/>
            </c:ext>
          </c:extLst>
        </c:ser>
        <c:ser>
          <c:idx val="3"/>
          <c:order val="3"/>
          <c:tx>
            <c:strRef>
              <c:f>'Country Handout (FR)'!$S$29</c:f>
              <c:strCache>
                <c:ptCount val="1"/>
                <c:pt idx="0">
                  <c:v>Implant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9DDEBFA-DFFA-4DD2-A772-30AE38AB9E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(FR)'!$T$29</c:f>
              <c:numCache>
                <c:formatCode>0.0%</c:formatCode>
                <c:ptCount val="1"/>
                <c:pt idx="0">
                  <c:v>0.20526315789473684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(FR)'!$U$29</c15:f>
                <c15:dlblRangeCache>
                  <c:ptCount val="1"/>
                  <c:pt idx="0">
                    <c:v>21%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F5A5-4851-AB97-152BDA93AF97}"/>
            </c:ext>
          </c:extLst>
        </c:ser>
        <c:ser>
          <c:idx val="4"/>
          <c:order val="4"/>
          <c:tx>
            <c:strRef>
              <c:f>'Country Handout (FR)'!$S$30</c:f>
              <c:strCache>
                <c:ptCount val="1"/>
                <c:pt idx="0">
                  <c:v>Injectables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BD6AD70-E76B-431D-A611-89A699EBB5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(FR)'!$T$30</c:f>
              <c:numCache>
                <c:formatCode>0.0%</c:formatCode>
                <c:ptCount val="1"/>
                <c:pt idx="0">
                  <c:v>0.31578947368421051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(FR)'!$U$30</c15:f>
                <c15:dlblRangeCache>
                  <c:ptCount val="1"/>
                  <c:pt idx="0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F5A5-4851-AB97-152BDA93AF97}"/>
            </c:ext>
          </c:extLst>
        </c:ser>
        <c:ser>
          <c:idx val="5"/>
          <c:order val="5"/>
          <c:tx>
            <c:strRef>
              <c:f>'Country Handout (FR)'!$S$31</c:f>
              <c:strCache>
                <c:ptCount val="1"/>
                <c:pt idx="0">
                  <c:v>Pilule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417758-D8DB-483A-A417-A4A0BF3FA3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(FR)'!$T$31</c:f>
              <c:numCache>
                <c:formatCode>0.0%</c:formatCode>
                <c:ptCount val="1"/>
                <c:pt idx="0">
                  <c:v>0.11052631578947369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(FR)'!$U$31</c15:f>
                <c15:dlblRangeCache>
                  <c:ptCount val="1"/>
                  <c:pt idx="0">
                    <c:v>11%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F5A5-4851-AB97-152BDA93AF97}"/>
            </c:ext>
          </c:extLst>
        </c:ser>
        <c:ser>
          <c:idx val="6"/>
          <c:order val="6"/>
          <c:tx>
            <c:strRef>
              <c:f>'Country Handout (FR)'!$S$32</c:f>
              <c:strCache>
                <c:ptCount val="1"/>
                <c:pt idx="0">
                  <c:v>Préservatifs (m)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A794EE6-2571-4DC2-81E5-B8B815640C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(FR)'!$T$32</c:f>
              <c:numCache>
                <c:formatCode>0.0%</c:formatCode>
                <c:ptCount val="1"/>
                <c:pt idx="0">
                  <c:v>0.25789473684210529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(FR)'!$U$32</c15:f>
                <c15:dlblRangeCache>
                  <c:ptCount val="1"/>
                  <c:pt idx="0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F5A5-4851-AB97-152BDA93AF97}"/>
            </c:ext>
          </c:extLst>
        </c:ser>
        <c:ser>
          <c:idx val="7"/>
          <c:order val="7"/>
          <c:tx>
            <c:strRef>
              <c:f>'Country Handout (FR)'!$S$33</c:f>
              <c:strCache>
                <c:ptCount val="1"/>
                <c:pt idx="0">
                  <c:v>MAMA</c:v>
                </c:pt>
              </c:strCache>
            </c:strRef>
          </c:tx>
          <c:spPr>
            <a:solidFill>
              <a:schemeClr val="accent6">
                <a:lumMod val="90000"/>
                <a:lumOff val="1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5D9AFD-2417-4934-B0A0-B04C3B9FA1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(FR)'!$T$33</c:f>
              <c:numCache>
                <c:formatCode>0.0%</c:formatCode>
                <c:ptCount val="1"/>
                <c:pt idx="0">
                  <c:v>2.1052631578947368E-2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(FR)'!$U$33</c15:f>
                <c15:dlblRangeCache>
                  <c:ptCount val="1"/>
                  <c:pt idx="0">
                    <c:v>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F5A5-4851-AB97-152BDA93AF97}"/>
            </c:ext>
          </c:extLst>
        </c:ser>
        <c:ser>
          <c:idx val="8"/>
          <c:order val="8"/>
          <c:tx>
            <c:strRef>
              <c:f>'Country Handout (FR)'!$S$34</c:f>
              <c:strCache>
                <c:ptCount val="1"/>
                <c:pt idx="0">
                  <c:v>Autres méthodes modernes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8AAABF3-370C-436C-9F86-1899B48380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F5A5-4851-AB97-152BDA93AF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'Country Handout (FR)'!$T$34</c:f>
              <c:numCache>
                <c:formatCode>0.0%</c:formatCode>
                <c:ptCount val="1"/>
                <c:pt idx="0">
                  <c:v>1.0526315789473684E-2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'Country Handout (FR)'!$U$34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1C-F5A5-4851-AB97-152BDA93A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731761024"/>
        <c:axId val="731763648"/>
        <c:extLst>
          <c:ext xmlns:c15="http://schemas.microsoft.com/office/drawing/2012/chart" uri="{02D57815-91ED-43cb-92C2-25804820EDAC}">
            <c15:filteredBarSeries>
              <c15:ser>
                <c:idx val="9"/>
                <c:order val="9"/>
                <c:tx>
                  <c:strRef>
                    <c:extLst>
                      <c:ext uri="{02D57815-91ED-43cb-92C2-25804820EDAC}">
                        <c15:formulaRef>
                          <c15:sqref>'Country Handout (FR)'!$S$35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'Country Handout (FR)'!$T$35</c15:sqref>
                        </c15:formulaRef>
                      </c:ext>
                    </c:extLst>
                    <c:numCache>
                      <c:formatCode>0.0%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D-F5A5-4851-AB97-152BDA93AF97}"/>
                  </c:ext>
                </c:extLst>
              </c15:ser>
            </c15:filteredBarSeries>
          </c:ext>
        </c:extLst>
      </c:barChart>
      <c:valAx>
        <c:axId val="73176364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731761024"/>
        <c:crosses val="autoZero"/>
        <c:crossBetween val="between"/>
      </c:valAx>
      <c:catAx>
        <c:axId val="731761024"/>
        <c:scaling>
          <c:orientation val="minMax"/>
        </c:scaling>
        <c:delete val="1"/>
        <c:axPos val="l"/>
        <c:majorTickMark val="out"/>
        <c:minorTickMark val="none"/>
        <c:tickLblPos val="nextTo"/>
        <c:crossAx val="731763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3.2894586356956197E-2"/>
          <c:w val="0.99776202146856974"/>
          <c:h val="0.14017770870884985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noFill/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Method Mix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'Method Mix'!$E$25</c:f>
              <c:strCache>
                <c:ptCount val="1"/>
                <c:pt idx="0">
                  <c:v>Stérilisation (f)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Mix'!$E$26:$E$34</c:f>
              <c:numCache>
                <c:formatCode>0.0</c:formatCode>
                <c:ptCount val="9"/>
                <c:pt idx="0">
                  <c:v>0.86206896551724133</c:v>
                </c:pt>
                <c:pt idx="1">
                  <c:v>0.432050274941084</c:v>
                </c:pt>
                <c:pt idx="2">
                  <c:v>1.1612021857923498</c:v>
                </c:pt>
                <c:pt idx="3">
                  <c:v>0.8771929824561403</c:v>
                </c:pt>
                <c:pt idx="4">
                  <c:v>1.9607843137254901</c:v>
                </c:pt>
                <c:pt idx="5">
                  <c:v>0.86621751684311832</c:v>
                </c:pt>
                <c:pt idx="6">
                  <c:v>0.60060060060060072</c:v>
                </c:pt>
                <c:pt idx="7">
                  <c:v>1.6574585635359116</c:v>
                </c:pt>
                <c:pt idx="8">
                  <c:v>3.6842105263157889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4-407B-BB31-F2CCE52B77E1}"/>
            </c:ext>
          </c:extLst>
        </c:ser>
        <c:ser>
          <c:idx val="1"/>
          <c:order val="1"/>
          <c:tx>
            <c:strRef>
              <c:f>'Method Mix'!$F$25</c:f>
              <c:strCache>
                <c:ptCount val="1"/>
                <c:pt idx="0">
                  <c:v>Stérilisation (m)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Mix'!$F$26:$F$34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1.9125683060109291</c:v>
                </c:pt>
                <c:pt idx="3">
                  <c:v>0.8771929824561403</c:v>
                </c:pt>
                <c:pt idx="4">
                  <c:v>0</c:v>
                </c:pt>
                <c:pt idx="5">
                  <c:v>9.6246390760346481E-2</c:v>
                </c:pt>
                <c:pt idx="6">
                  <c:v>0</c:v>
                </c:pt>
                <c:pt idx="7">
                  <c:v>0</c:v>
                </c:pt>
                <c:pt idx="8">
                  <c:v>0.52631578947368418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4-407B-BB31-F2CCE52B77E1}"/>
            </c:ext>
          </c:extLst>
        </c:ser>
        <c:ser>
          <c:idx val="2"/>
          <c:order val="2"/>
          <c:tx>
            <c:strRef>
              <c:f>'Method Mix'!$G$25</c:f>
              <c:strCache>
                <c:ptCount val="1"/>
                <c:pt idx="0">
                  <c:v>DIU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Mix'!$G$26:$G$34</c:f>
              <c:numCache>
                <c:formatCode>0.0</c:formatCode>
                <c:ptCount val="9"/>
                <c:pt idx="0">
                  <c:v>11.206896551724139</c:v>
                </c:pt>
                <c:pt idx="1">
                  <c:v>4.5954438334642562</c:v>
                </c:pt>
                <c:pt idx="2">
                  <c:v>0.47814207650273227</c:v>
                </c:pt>
                <c:pt idx="3">
                  <c:v>4.3859649122807012</c:v>
                </c:pt>
                <c:pt idx="4">
                  <c:v>5.882352941176471</c:v>
                </c:pt>
                <c:pt idx="5">
                  <c:v>1.5399422521655437</c:v>
                </c:pt>
                <c:pt idx="6">
                  <c:v>1.0010010010010011</c:v>
                </c:pt>
                <c:pt idx="7">
                  <c:v>8.8397790055248606</c:v>
                </c:pt>
                <c:pt idx="8">
                  <c:v>3.6842105263157889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4-407B-BB31-F2CCE52B77E1}"/>
            </c:ext>
          </c:extLst>
        </c:ser>
        <c:ser>
          <c:idx val="3"/>
          <c:order val="3"/>
          <c:tx>
            <c:strRef>
              <c:f>'Method Mix'!$H$25</c:f>
              <c:strCache>
                <c:ptCount val="1"/>
                <c:pt idx="0">
                  <c:v>Implant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Mix'!$H$26:$H$34</c:f>
              <c:numCache>
                <c:formatCode>0.0</c:formatCode>
                <c:ptCount val="9"/>
                <c:pt idx="0">
                  <c:v>38.793103448275865</c:v>
                </c:pt>
                <c:pt idx="1">
                  <c:v>46.425765907305575</c:v>
                </c:pt>
                <c:pt idx="2">
                  <c:v>6.2158469945355188</c:v>
                </c:pt>
                <c:pt idx="3">
                  <c:v>19.298245614035086</c:v>
                </c:pt>
                <c:pt idx="4">
                  <c:v>44.44444444444445</c:v>
                </c:pt>
                <c:pt idx="5">
                  <c:v>5.2935514918190565</c:v>
                </c:pt>
                <c:pt idx="6">
                  <c:v>17.517517517517518</c:v>
                </c:pt>
                <c:pt idx="7">
                  <c:v>35.359116022099442</c:v>
                </c:pt>
                <c:pt idx="8">
                  <c:v>20.526315789473685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4-407B-BB31-F2CCE52B77E1}"/>
            </c:ext>
          </c:extLst>
        </c:ser>
        <c:ser>
          <c:idx val="4"/>
          <c:order val="4"/>
          <c:tx>
            <c:strRef>
              <c:f>'Method Mix'!$I$25</c:f>
              <c:strCache>
                <c:ptCount val="1"/>
                <c:pt idx="0">
                  <c:v>Injectables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Mix'!$I$26:$I$34</c:f>
              <c:numCache>
                <c:formatCode>0.0</c:formatCode>
                <c:ptCount val="9"/>
                <c:pt idx="0">
                  <c:v>16.379310344827587</c:v>
                </c:pt>
                <c:pt idx="1">
                  <c:v>26.040848389630789</c:v>
                </c:pt>
                <c:pt idx="2">
                  <c:v>28.210382513661202</c:v>
                </c:pt>
                <c:pt idx="3">
                  <c:v>18.421052631578945</c:v>
                </c:pt>
                <c:pt idx="4">
                  <c:v>33.986928104575163</c:v>
                </c:pt>
                <c:pt idx="5">
                  <c:v>23.58036573628489</c:v>
                </c:pt>
                <c:pt idx="6">
                  <c:v>39.639639639639654</c:v>
                </c:pt>
                <c:pt idx="7">
                  <c:v>32.596685082872931</c:v>
                </c:pt>
                <c:pt idx="8">
                  <c:v>31.578947368421051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4-407B-BB31-F2CCE52B77E1}"/>
            </c:ext>
          </c:extLst>
        </c:ser>
        <c:ser>
          <c:idx val="5"/>
          <c:order val="5"/>
          <c:tx>
            <c:strRef>
              <c:f>'Method Mix'!$J$25</c:f>
              <c:strCache>
                <c:ptCount val="1"/>
                <c:pt idx="0">
                  <c:v>Pilule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Mix'!$J$26:$J$34</c:f>
              <c:numCache>
                <c:formatCode>0.0</c:formatCode>
                <c:ptCount val="9"/>
                <c:pt idx="0">
                  <c:v>10.344827586206897</c:v>
                </c:pt>
                <c:pt idx="1">
                  <c:v>9.3872741555380976</c:v>
                </c:pt>
                <c:pt idx="2">
                  <c:v>39.275956284153004</c:v>
                </c:pt>
                <c:pt idx="3">
                  <c:v>16.666666666666664</c:v>
                </c:pt>
                <c:pt idx="4">
                  <c:v>12.418300653594772</c:v>
                </c:pt>
                <c:pt idx="5">
                  <c:v>67.276227141482195</c:v>
                </c:pt>
                <c:pt idx="6">
                  <c:v>40.440440440440447</c:v>
                </c:pt>
                <c:pt idx="7">
                  <c:v>14.917127071823206</c:v>
                </c:pt>
                <c:pt idx="8">
                  <c:v>11.05263157894737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84-407B-BB31-F2CCE52B77E1}"/>
            </c:ext>
          </c:extLst>
        </c:ser>
        <c:ser>
          <c:idx val="6"/>
          <c:order val="6"/>
          <c:tx>
            <c:strRef>
              <c:f>'Method Mix'!$K$25</c:f>
              <c:strCache>
                <c:ptCount val="1"/>
                <c:pt idx="0">
                  <c:v>Préservatifs (m)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Mix'!$K$26:$K$34</c:f>
              <c:numCache>
                <c:formatCode>0.0</c:formatCode>
                <c:ptCount val="9"/>
                <c:pt idx="0">
                  <c:v>18.103448275862068</c:v>
                </c:pt>
                <c:pt idx="1">
                  <c:v>12.372348782403767</c:v>
                </c:pt>
                <c:pt idx="2">
                  <c:v>19.740437158469945</c:v>
                </c:pt>
                <c:pt idx="3">
                  <c:v>12.280701754385962</c:v>
                </c:pt>
                <c:pt idx="4">
                  <c:v>0.65359477124183019</c:v>
                </c:pt>
                <c:pt idx="5">
                  <c:v>1.347449470644851</c:v>
                </c:pt>
                <c:pt idx="6">
                  <c:v>0.60060060060060072</c:v>
                </c:pt>
                <c:pt idx="7">
                  <c:v>4.972375690607735</c:v>
                </c:pt>
                <c:pt idx="8">
                  <c:v>25.789473684210527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84-407B-BB31-F2CCE52B77E1}"/>
            </c:ext>
          </c:extLst>
        </c:ser>
        <c:ser>
          <c:idx val="7"/>
          <c:order val="7"/>
          <c:tx>
            <c:strRef>
              <c:f>'Method Mix'!$L$25</c:f>
              <c:strCache>
                <c:ptCount val="1"/>
                <c:pt idx="0">
                  <c:v>MAMA</c:v>
                </c:pt>
              </c:strCache>
            </c:strRef>
          </c:tx>
          <c:spPr>
            <a:solidFill>
              <a:schemeClr val="accent6">
                <a:lumMod val="90000"/>
                <a:lumOff val="10000"/>
              </a:schemeClr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Mix'!$L$26:$L$34</c:f>
              <c:numCache>
                <c:formatCode>0.0</c:formatCode>
                <c:ptCount val="9"/>
                <c:pt idx="0">
                  <c:v>0.86206896551724133</c:v>
                </c:pt>
                <c:pt idx="1">
                  <c:v>3.9277297721916724E-2</c:v>
                </c:pt>
                <c:pt idx="2">
                  <c:v>2.7322404371584699</c:v>
                </c:pt>
                <c:pt idx="3">
                  <c:v>24.561403508771924</c:v>
                </c:pt>
                <c:pt idx="4">
                  <c:v>0.65359477124183019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84-407B-BB31-F2CCE52B77E1}"/>
            </c:ext>
          </c:extLst>
        </c:ser>
        <c:ser>
          <c:idx val="8"/>
          <c:order val="8"/>
          <c:tx>
            <c:strRef>
              <c:f>'Method Mix'!$M$25</c:f>
              <c:strCache>
                <c:ptCount val="1"/>
                <c:pt idx="0">
                  <c:v>Autres méthodes modernes</c:v>
                </c:pt>
              </c:strCache>
            </c:strRef>
          </c:tx>
          <c:spPr>
            <a:solidFill>
              <a:schemeClr val="accent6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'Method Mix'!$D$26:$D$34</c:f>
              <c:strCache>
                <c:ptCount val="9"/>
                <c:pt idx="0">
                  <c:v>Benin:EDS 2017-18</c:v>
                </c:pt>
                <c:pt idx="1">
                  <c:v>Burkina Faso:PMA 2020</c:v>
                </c:pt>
                <c:pt idx="2">
                  <c:v>Côte d'Ivoire:MICS 2016 </c:v>
                </c:pt>
                <c:pt idx="3">
                  <c:v>Guinea:EDS 2018</c:v>
                </c:pt>
                <c:pt idx="4">
                  <c:v>Mali:EDS 2018</c:v>
                </c:pt>
                <c:pt idx="5">
                  <c:v>Mauritania:MICS 2015</c:v>
                </c:pt>
                <c:pt idx="6">
                  <c:v>Niger:PMA 2017</c:v>
                </c:pt>
                <c:pt idx="7">
                  <c:v>Senegal:EDS 2018</c:v>
                </c:pt>
                <c:pt idx="8">
                  <c:v>Togo:MICS 2017</c:v>
                </c:pt>
              </c:strCache>
            </c:strRef>
          </c:cat>
          <c:val>
            <c:numRef>
              <c:f>'Method Mix'!$M$26:$M$34</c:f>
              <c:numCache>
                <c:formatCode>0.0</c:formatCode>
                <c:ptCount val="9"/>
                <c:pt idx="0">
                  <c:v>3.4482758620689653</c:v>
                </c:pt>
                <c:pt idx="1">
                  <c:v>0.70699135899450105</c:v>
                </c:pt>
                <c:pt idx="2">
                  <c:v>0.27322404371584702</c:v>
                </c:pt>
                <c:pt idx="3">
                  <c:v>2.6315789473684204</c:v>
                </c:pt>
                <c:pt idx="4">
                  <c:v>0</c:v>
                </c:pt>
                <c:pt idx="5">
                  <c:v>0</c:v>
                </c:pt>
                <c:pt idx="6">
                  <c:v>0.20020020020020024</c:v>
                </c:pt>
                <c:pt idx="7">
                  <c:v>1.6574585635359116</c:v>
                </c:pt>
                <c:pt idx="8">
                  <c:v>1.0526315789473684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84-407B-BB31-F2CCE52B7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29123624"/>
        <c:axId val="629128216"/>
      </c:barChart>
      <c:catAx>
        <c:axId val="629123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28216"/>
        <c:crosses val="autoZero"/>
        <c:auto val="1"/>
        <c:lblAlgn val="ctr"/>
        <c:lblOffset val="100"/>
        <c:noMultiLvlLbl val="0"/>
      </c:catAx>
      <c:valAx>
        <c:axId val="629128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2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 Additional Users - 2015-2020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'Additional Users Graphic'!$C$7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'Additional Users Graphic'!$D$6:$I$6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'Additional Users Graphic'!$D$7:$I$7</c:f>
              <c:numCache>
                <c:formatCode>#,##0</c:formatCode>
                <c:ptCount val="6"/>
                <c:pt idx="0">
                  <c:v>0</c:v>
                </c:pt>
                <c:pt idx="1">
                  <c:v>474000</c:v>
                </c:pt>
                <c:pt idx="2">
                  <c:v>474000</c:v>
                </c:pt>
                <c:pt idx="3">
                  <c:v>474000</c:v>
                </c:pt>
                <c:pt idx="4">
                  <c:v>474000</c:v>
                </c:pt>
                <c:pt idx="5">
                  <c:v>474000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D-4B06-B02D-80C661748D6C}"/>
            </c:ext>
          </c:extLst>
        </c:ser>
        <c:ser>
          <c:idx val="1"/>
          <c:order val="1"/>
          <c:tx>
            <c:strRef>
              <c:f>'Additional Users Graphic'!$C$8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'Additional Users Graphic'!$D$6:$I$6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'Additional Users Graphic'!$D$8:$I$8</c:f>
              <c:numCache>
                <c:formatCode>#,##0</c:formatCode>
                <c:ptCount val="6"/>
                <c:pt idx="2">
                  <c:v>524000</c:v>
                </c:pt>
                <c:pt idx="3">
                  <c:v>524000</c:v>
                </c:pt>
                <c:pt idx="4">
                  <c:v>524000</c:v>
                </c:pt>
                <c:pt idx="5">
                  <c:v>524000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D-4B06-B02D-80C661748D6C}"/>
            </c:ext>
          </c:extLst>
        </c:ser>
        <c:ser>
          <c:idx val="2"/>
          <c:order val="2"/>
          <c:tx>
            <c:strRef>
              <c:f>'Additional Users Graphic'!$C$9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'Additional Users Graphic'!$D$6:$I$6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'Additional Users Graphic'!$D$9:$I$9</c:f>
              <c:numCache>
                <c:formatCode>#,##0</c:formatCode>
                <c:ptCount val="6"/>
                <c:pt idx="3">
                  <c:v>480000</c:v>
                </c:pt>
                <c:pt idx="4">
                  <c:v>480000</c:v>
                </c:pt>
                <c:pt idx="5">
                  <c:v>480000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D-4B06-B02D-80C661748D6C}"/>
            </c:ext>
          </c:extLst>
        </c:ser>
        <c:ser>
          <c:idx val="3"/>
          <c:order val="3"/>
          <c:tx>
            <c:strRef>
              <c:f>'Additional Users Graphic'!$C$10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'Additional Users Graphic'!$D$6:$I$6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'Additional Users Graphic'!$D$10:$I$10</c:f>
              <c:numCache>
                <c:formatCode>#,##0</c:formatCode>
                <c:ptCount val="6"/>
                <c:pt idx="4">
                  <c:v>445000</c:v>
                </c:pt>
                <c:pt idx="5">
                  <c:v>445000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0D-4B06-B02D-80C661748D6C}"/>
            </c:ext>
          </c:extLst>
        </c:ser>
        <c:ser>
          <c:idx val="4"/>
          <c:order val="4"/>
          <c:tx>
            <c:strRef>
              <c:f>'Additional Users Graphic'!$C$11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'Additional Users Graphic'!$D$6:$I$6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'Additional Users Graphic'!$D$11:$I$11</c:f>
              <c:numCache>
                <c:formatCode>#,##0</c:formatCode>
                <c:ptCount val="6"/>
                <c:pt idx="5">
                  <c:v>476000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0D-4B06-B02D-80C66174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706472"/>
        <c:axId val="720713688"/>
      </c:barChart>
      <c:lineChart>
        <c:grouping val="standard"/>
        <c:varyColors val="0"/>
        <c:ser>
          <c:idx val="5"/>
          <c:order val="5"/>
          <c:tx>
            <c:strRef>
              <c:f>'Additional Users Graphic'!$C$12</c:f>
              <c:strCache>
                <c:ptCount val="1"/>
                <c:pt idx="0">
                  <c:v>Objectif d'utilisatrices additionelles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'Additional Users Graphic'!$D$6:$I$6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'Additional Users Graphic'!$D$12:$I$12</c:f>
              <c:numCache>
                <c:formatCode>#,##0</c:formatCode>
                <c:ptCount val="6"/>
                <c:pt idx="0">
                  <c:v>2215000</c:v>
                </c:pt>
                <c:pt idx="1">
                  <c:v>2215000</c:v>
                </c:pt>
                <c:pt idx="2">
                  <c:v>2215000</c:v>
                </c:pt>
                <c:pt idx="3">
                  <c:v>2215000</c:v>
                </c:pt>
                <c:pt idx="4">
                  <c:v>2215000</c:v>
                </c:pt>
                <c:pt idx="5">
                  <c:v>2215000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0D-4B06-B02D-80C66174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706472"/>
        <c:axId val="720713688"/>
      </c:lineChart>
      <c:catAx>
        <c:axId val="72070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713688"/>
        <c:crosses val="autoZero"/>
        <c:auto val="1"/>
        <c:lblAlgn val="ctr"/>
        <c:lblOffset val="100"/>
        <c:noMultiLvlLbl val="0"/>
      </c:catAx>
      <c:valAx>
        <c:axId val="72071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70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28068414753173E-2"/>
          <c:y val="7.5071389781912606E-2"/>
          <c:w val="0.92502522012790611"/>
          <c:h val="0.85758026337991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'Additional Users Graphic'!$C$21</c:f>
              <c:strCache>
                <c:ptCount val="1"/>
                <c:pt idx="0">
                  <c:v>Côte d'Ivoire</c:v>
                </c:pt>
              </c:strCache>
            </c:strRef>
          </c:tx>
          <c:spPr>
            <a:solidFill>
              <a:schemeClr val="accent6">
                <a:lumMod val="90000"/>
                <a:lumOff val="1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Graphic'!$D$21:$I$21</c:f>
              <c:numCache>
                <c:formatCode>#,##0</c:formatCode>
                <c:ptCount val="6"/>
                <c:pt idx="0">
                  <c:v>0</c:v>
                </c:pt>
                <c:pt idx="1">
                  <c:v>118000</c:v>
                </c:pt>
                <c:pt idx="2">
                  <c:v>255000</c:v>
                </c:pt>
                <c:pt idx="3">
                  <c:v>367000</c:v>
                </c:pt>
                <c:pt idx="4">
                  <c:v>472000</c:v>
                </c:pt>
                <c:pt idx="5">
                  <c:v>581000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7-482D-99D4-3802ABAC006E}"/>
            </c:ext>
          </c:extLst>
        </c:ser>
        <c:ser>
          <c:idx val="1"/>
          <c:order val="1"/>
          <c:tx>
            <c:strRef>
              <c:f>'Additional Users Graphic'!$C$22</c:f>
              <c:strCache>
                <c:ptCount val="1"/>
                <c:pt idx="0">
                  <c:v>Burkina Faso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Graphic'!$D$22:$I$22</c:f>
              <c:numCache>
                <c:formatCode>#,##0</c:formatCode>
                <c:ptCount val="6"/>
                <c:pt idx="0">
                  <c:v>0</c:v>
                </c:pt>
                <c:pt idx="1">
                  <c:v>110000</c:v>
                </c:pt>
                <c:pt idx="2">
                  <c:v>238000</c:v>
                </c:pt>
                <c:pt idx="3">
                  <c:v>327000</c:v>
                </c:pt>
                <c:pt idx="4">
                  <c:v>388000</c:v>
                </c:pt>
                <c:pt idx="5">
                  <c:v>469000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E7-482D-99D4-3802ABAC006E}"/>
            </c:ext>
          </c:extLst>
        </c:ser>
        <c:ser>
          <c:idx val="2"/>
          <c:order val="2"/>
          <c:tx>
            <c:strRef>
              <c:f>'Additional Users Graphic'!$C$23</c:f>
              <c:strCache>
                <c:ptCount val="1"/>
                <c:pt idx="0">
                  <c:v>Niger</c:v>
                </c:pt>
              </c:strCache>
            </c:strRef>
          </c:tx>
          <c:spPr>
            <a:solidFill>
              <a:schemeClr val="bg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Graphic'!$D$23:$I$23</c:f>
              <c:numCache>
                <c:formatCode>#,##0</c:formatCode>
                <c:ptCount val="6"/>
                <c:pt idx="0">
                  <c:v>0</c:v>
                </c:pt>
                <c:pt idx="1">
                  <c:v>41000</c:v>
                </c:pt>
                <c:pt idx="2">
                  <c:v>97000</c:v>
                </c:pt>
                <c:pt idx="3">
                  <c:v>163000</c:v>
                </c:pt>
                <c:pt idx="4">
                  <c:v>230000</c:v>
                </c:pt>
                <c:pt idx="5">
                  <c:v>302000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7-482D-99D4-3802ABAC006E}"/>
            </c:ext>
          </c:extLst>
        </c:ser>
        <c:ser>
          <c:idx val="3"/>
          <c:order val="3"/>
          <c:tx>
            <c:strRef>
              <c:f>'Additional Users Graphic'!$C$24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chemeClr val="bg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Graphic'!$D$24:$I$24</c:f>
              <c:numCache>
                <c:formatCode>#,##0</c:formatCode>
                <c:ptCount val="6"/>
                <c:pt idx="0">
                  <c:v>0</c:v>
                </c:pt>
                <c:pt idx="1">
                  <c:v>66000</c:v>
                </c:pt>
                <c:pt idx="2">
                  <c:v>127000</c:v>
                </c:pt>
                <c:pt idx="3">
                  <c:v>174000</c:v>
                </c:pt>
                <c:pt idx="4">
                  <c:v>226000</c:v>
                </c:pt>
                <c:pt idx="5">
                  <c:v>275000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7-482D-99D4-3802ABAC006E}"/>
            </c:ext>
          </c:extLst>
        </c:ser>
        <c:ser>
          <c:idx val="4"/>
          <c:order val="4"/>
          <c:tx>
            <c:strRef>
              <c:f>'Additional Users Graphic'!$C$25</c:f>
              <c:strCache>
                <c:ptCount val="1"/>
                <c:pt idx="0">
                  <c:v>Mali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Graphic'!$D$25:$I$25</c:f>
              <c:numCache>
                <c:formatCode>#,##0</c:formatCode>
                <c:ptCount val="6"/>
                <c:pt idx="0">
                  <c:v>0</c:v>
                </c:pt>
                <c:pt idx="1">
                  <c:v>46000</c:v>
                </c:pt>
                <c:pt idx="2">
                  <c:v>91000</c:v>
                </c:pt>
                <c:pt idx="3">
                  <c:v>146000</c:v>
                </c:pt>
                <c:pt idx="4">
                  <c:v>197000</c:v>
                </c:pt>
                <c:pt idx="5">
                  <c:v>251000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E7-482D-99D4-3802ABAC006E}"/>
            </c:ext>
          </c:extLst>
        </c:ser>
        <c:ser>
          <c:idx val="5"/>
          <c:order val="5"/>
          <c:tx>
            <c:strRef>
              <c:f>'Additional Users Graphic'!$C$26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Graphic'!$D$26:$I$26</c:f>
              <c:numCache>
                <c:formatCode>#,##0</c:formatCode>
                <c:ptCount val="6"/>
                <c:pt idx="0">
                  <c:v>0</c:v>
                </c:pt>
                <c:pt idx="1">
                  <c:v>38000</c:v>
                </c:pt>
                <c:pt idx="2">
                  <c:v>80000</c:v>
                </c:pt>
                <c:pt idx="3">
                  <c:v>126000</c:v>
                </c:pt>
                <c:pt idx="4">
                  <c:v>167000</c:v>
                </c:pt>
                <c:pt idx="5">
                  <c:v>208000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E7-482D-99D4-3802ABAC006E}"/>
            </c:ext>
          </c:extLst>
        </c:ser>
        <c:ser>
          <c:idx val="6"/>
          <c:order val="6"/>
          <c:tx>
            <c:strRef>
              <c:f>'Additional Users Graphic'!$C$27</c:f>
              <c:strCache>
                <c:ptCount val="1"/>
                <c:pt idx="0">
                  <c:v>Benin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Graphic'!$D$27:$I$27</c:f>
              <c:numCache>
                <c:formatCode>#,##0</c:formatCode>
                <c:ptCount val="6"/>
                <c:pt idx="0">
                  <c:v>0</c:v>
                </c:pt>
                <c:pt idx="1">
                  <c:v>26000</c:v>
                </c:pt>
                <c:pt idx="2">
                  <c:v>49000</c:v>
                </c:pt>
                <c:pt idx="3">
                  <c:v>81000</c:v>
                </c:pt>
                <c:pt idx="4">
                  <c:v>110000</c:v>
                </c:pt>
                <c:pt idx="5">
                  <c:v>139000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E7-482D-99D4-3802ABAC006E}"/>
            </c:ext>
          </c:extLst>
        </c:ser>
        <c:ser>
          <c:idx val="7"/>
          <c:order val="7"/>
          <c:tx>
            <c:strRef>
              <c:f>'Additional Users Graphic'!$C$28</c:f>
              <c:strCache>
                <c:ptCount val="1"/>
                <c:pt idx="0">
                  <c:v>Togo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Graphic'!$D$28:$I$28</c:f>
              <c:numCache>
                <c:formatCode>#,##0</c:formatCode>
                <c:ptCount val="6"/>
                <c:pt idx="0">
                  <c:v>0</c:v>
                </c:pt>
                <c:pt idx="1">
                  <c:v>21000</c:v>
                </c:pt>
                <c:pt idx="2">
                  <c:v>44000</c:v>
                </c:pt>
                <c:pt idx="3">
                  <c:v>68000</c:v>
                </c:pt>
                <c:pt idx="4">
                  <c:v>97000</c:v>
                </c:pt>
                <c:pt idx="5">
                  <c:v>128000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E7-482D-99D4-3802ABAC006E}"/>
            </c:ext>
          </c:extLst>
        </c:ser>
        <c:ser>
          <c:idx val="8"/>
          <c:order val="8"/>
          <c:tx>
            <c:strRef>
              <c:f>'Additional Users Graphic'!$C$29</c:f>
              <c:strCache>
                <c:ptCount val="1"/>
                <c:pt idx="0">
                  <c:v>Mauritania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BE0460-7F64-486F-B66D-F970467F5DF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6CE7-482D-99D4-3802ABAC006E}"/>
                </c:ext>
              </c:extLst>
            </c:dLbl>
            <c:dLbl>
              <c:idx val="1"/>
              <c:layout>
                <c:manualLayout>
                  <c:x val="3.0301399384213153E-3"/>
                  <c:y val="-4.1939160945198381E-2"/>
                </c:manualLayout>
              </c:layout>
              <c:tx>
                <c:rich>
                  <a:bodyPr/>
                  <a:lstStyle/>
                  <a:p>
                    <a:fld id="{019347FC-3392-4F6B-90AE-18D34A2267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6CE7-482D-99D4-3802ABAC006E}"/>
                </c:ext>
              </c:extLst>
            </c:dLbl>
            <c:dLbl>
              <c:idx val="2"/>
              <c:layout>
                <c:manualLayout>
                  <c:x val="4.2127433163334583E-3"/>
                  <c:y val="-2.9375761219009217E-2"/>
                </c:manualLayout>
              </c:layout>
              <c:tx>
                <c:rich>
                  <a:bodyPr/>
                  <a:lstStyle/>
                  <a:p>
                    <a:fld id="{09827962-0EF3-4C79-B9F0-3E910BF27A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6CE7-482D-99D4-3802ABAC006E}"/>
                </c:ext>
              </c:extLst>
            </c:dLbl>
            <c:dLbl>
              <c:idx val="3"/>
              <c:layout>
                <c:manualLayout>
                  <c:x val="-1.0297698035595343E-16"/>
                  <c:y val="-2.9375761219009339E-2"/>
                </c:manualLayout>
              </c:layout>
              <c:tx>
                <c:rich>
                  <a:bodyPr/>
                  <a:lstStyle/>
                  <a:p>
                    <a:fld id="{521A0C5B-978F-46E6-ADF0-39786F7D3B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6CE7-482D-99D4-3802ABAC006E}"/>
                </c:ext>
              </c:extLst>
            </c:dLbl>
            <c:dLbl>
              <c:idx val="4"/>
              <c:layout>
                <c:manualLayout>
                  <c:x val="1.4042477721111528E-3"/>
                  <c:y val="-2.284781428145163E-2"/>
                </c:manualLayout>
              </c:layout>
              <c:tx>
                <c:rich>
                  <a:bodyPr/>
                  <a:lstStyle/>
                  <a:p>
                    <a:fld id="{9ED735D5-54EF-49B1-88C5-938B19C5AE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6CE7-482D-99D4-3802ABAC006E}"/>
                </c:ext>
              </c:extLst>
            </c:dLbl>
            <c:dLbl>
              <c:idx val="5"/>
              <c:layout>
                <c:manualLayout>
                  <c:x val="0"/>
                  <c:y val="-2.6111787750230469E-2"/>
                </c:manualLayout>
              </c:layout>
              <c:tx>
                <c:rich>
                  <a:bodyPr/>
                  <a:lstStyle/>
                  <a:p>
                    <a:fld id="{063320C7-E1BE-4209-8405-C6858A0BD6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6CE7-482D-99D4-3802ABAC0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Graphic'!$D$29:$I$29</c:f>
              <c:numCache>
                <c:formatCode>#,##0</c:formatCode>
                <c:ptCount val="6"/>
                <c:pt idx="0">
                  <c:v>0</c:v>
                </c:pt>
                <c:pt idx="1">
                  <c:v>8000</c:v>
                </c:pt>
                <c:pt idx="2">
                  <c:v>17000</c:v>
                </c:pt>
                <c:pt idx="3">
                  <c:v>26000</c:v>
                </c:pt>
                <c:pt idx="4">
                  <c:v>36000</c:v>
                </c:pt>
                <c:pt idx="5">
                  <c:v>46000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'Additional Users Graphic'!$D$33:$I$33</c15:f>
                <c15:dlblRangeCache>
                  <c:ptCount val="6"/>
                  <c:pt idx="1">
                    <c:v> 0.0 M </c:v>
                  </c:pt>
                  <c:pt idx="2">
                    <c:v> 0.1 M </c:v>
                  </c:pt>
                  <c:pt idx="3">
                    <c:v> 0.1 M </c:v>
                  </c:pt>
                  <c:pt idx="4">
                    <c:v> 0.2 M </c:v>
                  </c:pt>
                  <c:pt idx="5">
                    <c:v> 0.2 M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6CE7-482D-99D4-3802ABAC006E}"/>
            </c:ext>
          </c:extLst>
        </c:ser>
        <c:ser>
          <c:idx val="9"/>
          <c:order val="9"/>
          <c:tx>
            <c:strRef>
              <c:f>'Additional Users Graphic'!$C$30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Graphic'!$D$30:$I$30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6CE7-482D-99D4-3802ABAC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96912136"/>
        <c:axId val="996909840"/>
      </c:barChart>
      <c:lineChart>
        <c:grouping val="standard"/>
        <c:varyColors val="0"/>
        <c:ser>
          <c:idx val="10"/>
          <c:order val="10"/>
          <c:tx>
            <c:strRef>
              <c:f>'Additional Users Graphic'!$C$31</c:f>
              <c:strCache>
                <c:ptCount val="1"/>
                <c:pt idx="0">
                  <c:v>Objectif</c:v>
                </c:pt>
              </c:strCache>
            </c:strRef>
          </c:tx>
          <c:spPr>
            <a:ln w="28575" cap="rnd">
              <a:solidFill>
                <a:schemeClr val="bg2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774CDD8-F833-4BF8-BFAB-4CE117DE2D64}" type="VALUE">
                      <a:rPr lang="en-US"/>
                      <a:pPr/>
                      <a:t>[VALUE]</a:t>
                    </a:fld>
                    <a:r>
                      <a:rPr lang="en-US" baseline="0"/>
                      <a:t> M </a:t>
                    </a:r>
                  </a:p>
                </c:rich>
              </c:tx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CE7-482D-99D4-3802ABAC006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'Additional Users Graphic'!$D$20:$I$20</c:f>
              <c:numCache>
                <c:formatCode>General</c:formatCode>
                <c:ptCount val="6"/>
                <c:pt idx="0">
                  <c:v>2015.5</c:v>
                </c:pt>
                <c:pt idx="1">
                  <c:v>2016.5</c:v>
                </c:pt>
                <c:pt idx="2">
                  <c:v>2017.5</c:v>
                </c:pt>
                <c:pt idx="3">
                  <c:v>2018.5</c:v>
                </c:pt>
                <c:pt idx="4">
                  <c:v>2019.5</c:v>
                </c:pt>
                <c:pt idx="5">
                  <c:v>2020.5</c:v>
                </c:pt>
              </c:numCache>
            </c:numRef>
          </c:cat>
          <c:val>
            <c:numRef>
              <c:f>'Additional Users Graphic'!$D$31:$I$31</c:f>
              <c:numCache>
                <c:formatCode>#,##0</c:formatCode>
                <c:ptCount val="6"/>
                <c:pt idx="0">
                  <c:v>2215000</c:v>
                </c:pt>
                <c:pt idx="1">
                  <c:v>2215000</c:v>
                </c:pt>
                <c:pt idx="2">
                  <c:v>2215000</c:v>
                </c:pt>
                <c:pt idx="3">
                  <c:v>2215000</c:v>
                </c:pt>
                <c:pt idx="4">
                  <c:v>2215000</c:v>
                </c:pt>
                <c:pt idx="5">
                  <c:v>2215000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E7-482D-99D4-3802ABAC0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912136"/>
        <c:axId val="996909840"/>
      </c:lineChart>
      <c:catAx>
        <c:axId val="99691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909840"/>
        <c:crosses val="autoZero"/>
        <c:auto val="1"/>
        <c:lblAlgn val="ctr"/>
        <c:lblOffset val="100"/>
        <c:noMultiLvlLbl val="0"/>
      </c:catAx>
      <c:valAx>
        <c:axId val="99690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6912136"/>
        <c:crosses val="autoZero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9"/>
        <c:delete val="1"/>
      </c:legendEntry>
      <c:layout>
        <c:manualLayout>
          <c:xMode val="edge"/>
          <c:yMode val="edge"/>
          <c:x val="8.9803581900654381E-3"/>
          <c:y val="4.8957031973831883E-3"/>
          <c:w val="0.98336933459646581"/>
          <c:h val="5.5079937794319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70788878118538"/>
          <c:y val="0.19486111111111112"/>
          <c:w val="0.74086793085571212"/>
          <c:h val="0.647774737013262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'Country Achievement - Add Users'!$B$2</c:f>
              <c:strCache>
                <c:ptCount val="1"/>
                <c:pt idx="0">
                  <c:v>Utilisatrices Additionnelles (2019)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'Country Achievement - Add Users'!$A$3:$A$11</c:f>
              <c:strCache>
                <c:ptCount val="9"/>
                <c:pt idx="0">
                  <c:v>Côte d'Ivoire</c:v>
                </c:pt>
                <c:pt idx="1">
                  <c:v>Senegal</c:v>
                </c:pt>
                <c:pt idx="2">
                  <c:v>Burkina Faso</c:v>
                </c:pt>
                <c:pt idx="3">
                  <c:v>Mauritania</c:v>
                </c:pt>
                <c:pt idx="4">
                  <c:v>Guinea</c:v>
                </c:pt>
                <c:pt idx="5">
                  <c:v>Niger</c:v>
                </c:pt>
                <c:pt idx="6">
                  <c:v>Mali</c:v>
                </c:pt>
                <c:pt idx="7">
                  <c:v>Togo</c:v>
                </c:pt>
                <c:pt idx="8">
                  <c:v>Benin</c:v>
                </c:pt>
              </c:strCache>
            </c:strRef>
          </c:cat>
          <c:val>
            <c:numRef>
              <c:f>'Country Achievement - Add Users'!$B$3:$B$11</c:f>
              <c:numCache>
                <c:formatCode>#,##0</c:formatCode>
                <c:ptCount val="9"/>
                <c:pt idx="0">
                  <c:v>581000</c:v>
                </c:pt>
                <c:pt idx="1">
                  <c:v>275000</c:v>
                </c:pt>
                <c:pt idx="2">
                  <c:v>469000</c:v>
                </c:pt>
                <c:pt idx="3">
                  <c:v>46000</c:v>
                </c:pt>
                <c:pt idx="4">
                  <c:v>208000</c:v>
                </c:pt>
                <c:pt idx="5">
                  <c:v>302000</c:v>
                </c:pt>
                <c:pt idx="6">
                  <c:v>251000</c:v>
                </c:pt>
                <c:pt idx="7">
                  <c:v>128000</c:v>
                </c:pt>
                <c:pt idx="8">
                  <c:v>139000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6A-4D6E-96BC-24C9183F29FA}"/>
            </c:ext>
          </c:extLst>
        </c:ser>
        <c:ser>
          <c:idx val="1"/>
          <c:order val="1"/>
          <c:tx>
            <c:strRef>
              <c:f>'Country Achievement - Add Users'!$C$2</c:f>
              <c:strCache>
                <c:ptCount val="1"/>
                <c:pt idx="0">
                  <c:v>Objectif (2020)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'Country Achievement - Add Users'!$A$3:$A$11</c:f>
              <c:strCache>
                <c:ptCount val="9"/>
                <c:pt idx="0">
                  <c:v>Côte d'Ivoire</c:v>
                </c:pt>
                <c:pt idx="1">
                  <c:v>Senegal</c:v>
                </c:pt>
                <c:pt idx="2">
                  <c:v>Burkina Faso</c:v>
                </c:pt>
                <c:pt idx="3">
                  <c:v>Mauritania</c:v>
                </c:pt>
                <c:pt idx="4">
                  <c:v>Guinea</c:v>
                </c:pt>
                <c:pt idx="5">
                  <c:v>Niger</c:v>
                </c:pt>
                <c:pt idx="6">
                  <c:v>Mali</c:v>
                </c:pt>
                <c:pt idx="7">
                  <c:v>Togo</c:v>
                </c:pt>
                <c:pt idx="8">
                  <c:v>Benin</c:v>
                </c:pt>
              </c:strCache>
            </c:strRef>
          </c:cat>
          <c:val>
            <c:numRef>
              <c:f>'Country Achievement - Add Users'!$C$3:$C$11</c:f>
              <c:numCache>
                <c:formatCode>#,##0</c:formatCode>
                <c:ptCount val="9"/>
                <c:pt idx="0">
                  <c:v>440999.99999999988</c:v>
                </c:pt>
                <c:pt idx="1">
                  <c:v>216999.99999999997</c:v>
                </c:pt>
                <c:pt idx="2">
                  <c:v>388999.99999999994</c:v>
                </c:pt>
                <c:pt idx="3">
                  <c:v>39000</c:v>
                </c:pt>
                <c:pt idx="4">
                  <c:v>187999.99999999997</c:v>
                </c:pt>
                <c:pt idx="5">
                  <c:v>303999.99999999994</c:v>
                </c:pt>
                <c:pt idx="6">
                  <c:v>268999.99999999994</c:v>
                </c:pt>
                <c:pt idx="7">
                  <c:v>141000</c:v>
                </c:pt>
                <c:pt idx="8">
                  <c:v>226999.99999999997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A-4D6E-96BC-24C9183F2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004832"/>
        <c:axId val="481008440"/>
      </c:barChart>
      <c:lineChart>
        <c:grouping val="standard"/>
        <c:varyColors val="0"/>
        <c:ser>
          <c:idx val="2"/>
          <c:order val="2"/>
          <c:tx>
            <c:strRef>
              <c:f>'Country Achievement - Add Users'!$D$2</c:f>
              <c:strCache>
                <c:ptCount val="1"/>
                <c:pt idx="0">
                  <c:v>% de l'objectif atteint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20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'Country Achievement - Add Users'!$A$3:$A$11</c:f>
              <c:strCache>
                <c:ptCount val="9"/>
                <c:pt idx="0">
                  <c:v>Côte d'Ivoire</c:v>
                </c:pt>
                <c:pt idx="1">
                  <c:v>Senegal</c:v>
                </c:pt>
                <c:pt idx="2">
                  <c:v>Burkina Faso</c:v>
                </c:pt>
                <c:pt idx="3">
                  <c:v>Mauritania</c:v>
                </c:pt>
                <c:pt idx="4">
                  <c:v>Guinea</c:v>
                </c:pt>
                <c:pt idx="5">
                  <c:v>Niger</c:v>
                </c:pt>
                <c:pt idx="6">
                  <c:v>Mali</c:v>
                </c:pt>
                <c:pt idx="7">
                  <c:v>Togo</c:v>
                </c:pt>
                <c:pt idx="8">
                  <c:v>Benin</c:v>
                </c:pt>
              </c:strCache>
            </c:strRef>
          </c:cat>
          <c:val>
            <c:numRef>
              <c:f>'Country Achievement - Add Users'!$D$3:$D$11</c:f>
              <c:numCache>
                <c:formatCode>0%</c:formatCode>
                <c:ptCount val="9"/>
                <c:pt idx="0">
                  <c:v>1.3174603174603179</c:v>
                </c:pt>
                <c:pt idx="1">
                  <c:v>1.2672811059907836</c:v>
                </c:pt>
                <c:pt idx="2">
                  <c:v>1.2056555269922882</c:v>
                </c:pt>
                <c:pt idx="3">
                  <c:v>1.1794871794871795</c:v>
                </c:pt>
                <c:pt idx="4">
                  <c:v>1.1063829787234045</c:v>
                </c:pt>
                <c:pt idx="5">
                  <c:v>0.99342105263157909</c:v>
                </c:pt>
                <c:pt idx="6">
                  <c:v>0.93308550185873629</c:v>
                </c:pt>
                <c:pt idx="7">
                  <c:v>0.90780141843971629</c:v>
                </c:pt>
                <c:pt idx="8">
                  <c:v>0.61233480176211463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6A-4D6E-96BC-24C9183F2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84864"/>
        <c:axId val="481082568"/>
      </c:lineChart>
      <c:catAx>
        <c:axId val="4810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8440"/>
        <c:crosses val="autoZero"/>
        <c:auto val="1"/>
        <c:lblAlgn val="ctr"/>
        <c:lblOffset val="100"/>
        <c:noMultiLvlLbl val="0"/>
      </c:catAx>
      <c:valAx>
        <c:axId val="4810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Utilisatrices Additionnelles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04832"/>
        <c:crosses val="autoZero"/>
        <c:crossBetween val="between"/>
      </c:valAx>
      <c:valAx>
        <c:axId val="481082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de l'objectif atteint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84864"/>
        <c:crosses val="max"/>
        <c:crossBetween val="between"/>
      </c:valAx>
      <c:catAx>
        <c:axId val="48108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108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722259430145188E-2"/>
          <c:y val="9.1217904582620982E-2"/>
          <c:w val="0.8999999587342814"/>
          <c:h val="6.14552646186153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tif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142875</xdr:colOff>
      <xdr:row>32</xdr:row>
      <xdr:rowOff>152400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7615CEB-73A2-413C-810B-66CCBD4F4F14}"/>
            </a:ext>
          </a:extLst>
        </xdr:cNvPr>
        <xdr:cNvSpPr txBox="1"/>
      </xdr:nvSpPr>
      <xdr:spPr>
        <a:xfrm>
          <a:off x="18859500" y="949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948087</xdr:colOff>
      <xdr:row>43</xdr:row>
      <xdr:rowOff>87314</xdr:rowOff>
    </xdr:from>
    <xdr:to>
      <xdr:col>10</xdr:col>
      <xdr:colOff>853698</xdr:colOff>
      <xdr:row>45</xdr:row>
      <xdr:rowOff>210187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AF0BC4-CF22-4589-A3C1-10B8DA2FD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6368" y="14660564"/>
          <a:ext cx="980984" cy="642938"/>
        </a:xfrm>
        <a:prstGeom prst="rect">
          <a:avLst/>
        </a:prstGeom>
      </xdr:spPr>
    </xdr:pic>
    <xdr:clientData/>
  </xdr:twoCellAnchor>
  <xdr:twoCellAnchor>
    <xdr:from>
      <xdr:col>1</xdr:col>
      <xdr:colOff>46089</xdr:colOff>
      <xdr:row>11</xdr:row>
      <xdr:rowOff>173600</xdr:rowOff>
    </xdr:from>
    <xdr:to>
      <xdr:col>10</xdr:col>
      <xdr:colOff>938894</xdr:colOff>
      <xdr:row>16</xdr:row>
      <xdr:rowOff>503464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40D9CCB-54B6-4767-A3F6-0FAB4E36A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438263</xdr:colOff>
      <xdr:row>38</xdr:row>
      <xdr:rowOff>234273</xdr:rowOff>
    </xdr:from>
    <xdr:to>
      <xdr:col>11</xdr:col>
      <xdr:colOff>17578</xdr:colOff>
      <xdr:row>40</xdr:row>
      <xdr:rowOff>15196</xdr:rowOff>
    </xdr:to>
    <xdr:sp macro="" textlink="">
      <xdr:nvSpPr>
        <xdr:cNvPr id="6" name="Isosceles Triangle 5">
          <a:extLst>
            <a:ext uri="{FF2B5EF4-FFF2-40B4-BE49-F238E27FC236}">
              <a16:creationId xmlns:a16="http://schemas.microsoft.com/office/drawing/2014/main" id="{553C5DB5-7CFE-4F0F-B4E2-83560946FD75}"/>
            </a:ext>
          </a:extLst>
        </xdr:cNvPr>
        <xdr:cNvSpPr/>
      </xdr:nvSpPr>
      <xdr:spPr>
        <a:xfrm rot="10800000">
          <a:off x="10975634" y="14407473"/>
          <a:ext cx="689658" cy="259894"/>
        </a:xfrm>
        <a:prstGeom prst="triangle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295276</xdr:colOff>
      <xdr:row>28</xdr:row>
      <xdr:rowOff>119062</xdr:rowOff>
    </xdr:from>
    <xdr:to>
      <xdr:col>11</xdr:col>
      <xdr:colOff>0</xdr:colOff>
      <xdr:row>34</xdr:row>
      <xdr:rowOff>130968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84984B0-E5A7-41D3-B544-6AB13AC35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1603375</xdr:colOff>
      <xdr:row>0</xdr:row>
      <xdr:rowOff>365125</xdr:rowOff>
    </xdr:from>
    <xdr:to>
      <xdr:col>30</xdr:col>
      <xdr:colOff>95250</xdr:colOff>
      <xdr:row>4</xdr:row>
      <xdr:rowOff>592667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13884B2E-30BF-4DD8-A202-64B5E8B9F10B}"/>
            </a:ext>
          </a:extLst>
        </xdr:cNvPr>
        <xdr:cNvSpPr txBox="1"/>
      </xdr:nvSpPr>
      <xdr:spPr>
        <a:xfrm>
          <a:off x="21243925" y="365125"/>
          <a:ext cx="5711825" cy="1580092"/>
        </a:xfrm>
        <a:prstGeom prst="rect">
          <a:avLst/>
        </a:prstGeom>
        <a:solidFill>
          <a:srgbClr val="FFCC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 i="1">
              <a:solidFill>
                <a:srgbClr val="FF0000"/>
              </a:solidFill>
            </a:rPr>
            <a:t>DRAFT</a:t>
          </a:r>
        </a:p>
      </xdr:txBody>
    </xdr:sp>
    <xdr:clientData/>
  </xdr:twoCellAnchor>
  <xdr:twoCellAnchor>
    <xdr:from>
      <xdr:col>21</xdr:col>
      <xdr:colOff>691331</xdr:colOff>
      <xdr:row>23</xdr:row>
      <xdr:rowOff>231981</xdr:rowOff>
    </xdr:from>
    <xdr:to>
      <xdr:col>22</xdr:col>
      <xdr:colOff>1104859</xdr:colOff>
      <xdr:row>25</xdr:row>
      <xdr:rowOff>257794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F6546F2D-C64A-4F95-A650-4437E5A1A3F6}"/>
            </a:ext>
          </a:extLst>
        </xdr:cNvPr>
        <xdr:cNvSpPr/>
      </xdr:nvSpPr>
      <xdr:spPr>
        <a:xfrm>
          <a:off x="22522016" y="7191376"/>
          <a:ext cx="1181674" cy="886136"/>
        </a:xfrm>
        <a:prstGeom prst="rect">
          <a:avLst/>
        </a:prstGeom>
        <a:solidFill>
          <a:srgbClr val="CD9C47"/>
        </a:solidFill>
        <a:ln>
          <a:solidFill>
            <a:srgbClr val="CD9C4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22</xdr:col>
      <xdr:colOff>1261880</xdr:colOff>
      <xdr:row>23</xdr:row>
      <xdr:rowOff>185892</xdr:rowOff>
    </xdr:from>
    <xdr:to>
      <xdr:col>23</xdr:col>
      <xdr:colOff>625142</xdr:colOff>
      <xdr:row>25</xdr:row>
      <xdr:rowOff>211705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C6A5111E-08F9-44D7-BF50-8D69314897D6}"/>
            </a:ext>
          </a:extLst>
        </xdr:cNvPr>
        <xdr:cNvSpPr/>
      </xdr:nvSpPr>
      <xdr:spPr>
        <a:xfrm>
          <a:off x="23860711" y="7145287"/>
          <a:ext cx="1206810" cy="886136"/>
        </a:xfrm>
        <a:prstGeom prst="rect">
          <a:avLst/>
        </a:prstGeom>
        <a:solidFill>
          <a:srgbClr val="AAAFDD"/>
        </a:solidFill>
        <a:ln>
          <a:solidFill>
            <a:srgbClr val="AAAFD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24</xdr:col>
      <xdr:colOff>29006</xdr:colOff>
      <xdr:row>23</xdr:row>
      <xdr:rowOff>231980</xdr:rowOff>
    </xdr:from>
    <xdr:to>
      <xdr:col>25</xdr:col>
      <xdr:colOff>450474</xdr:colOff>
      <xdr:row>25</xdr:row>
      <xdr:rowOff>257793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439FD2F-8484-4660-9EBE-B42C096ABD2C}"/>
            </a:ext>
          </a:extLst>
        </xdr:cNvPr>
        <xdr:cNvSpPr/>
      </xdr:nvSpPr>
      <xdr:spPr>
        <a:xfrm>
          <a:off x="25239530" y="7191375"/>
          <a:ext cx="1189613" cy="886136"/>
        </a:xfrm>
        <a:prstGeom prst="rect">
          <a:avLst/>
        </a:prstGeom>
        <a:solidFill>
          <a:srgbClr val="7A80BF"/>
        </a:solidFill>
        <a:ln>
          <a:solidFill>
            <a:srgbClr val="7A80B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25</xdr:col>
      <xdr:colOff>760748</xdr:colOff>
      <xdr:row>23</xdr:row>
      <xdr:rowOff>215081</xdr:rowOff>
    </xdr:from>
    <xdr:to>
      <xdr:col>27</xdr:col>
      <xdr:colOff>427300</xdr:colOff>
      <xdr:row>25</xdr:row>
      <xdr:rowOff>240894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1C4FDE5-53B6-49DA-B17F-0FC79C394DA9}"/>
            </a:ext>
          </a:extLst>
        </xdr:cNvPr>
        <xdr:cNvSpPr/>
      </xdr:nvSpPr>
      <xdr:spPr>
        <a:xfrm>
          <a:off x="26739417" y="7174476"/>
          <a:ext cx="1202843" cy="886136"/>
        </a:xfrm>
        <a:prstGeom prst="rect">
          <a:avLst/>
        </a:prstGeom>
        <a:solidFill>
          <a:srgbClr val="4D56AA"/>
        </a:solidFill>
        <a:ln>
          <a:solidFill>
            <a:srgbClr val="4D56A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27</xdr:col>
      <xdr:colOff>580433</xdr:colOff>
      <xdr:row>23</xdr:row>
      <xdr:rowOff>216617</xdr:rowOff>
    </xdr:from>
    <xdr:to>
      <xdr:col>29</xdr:col>
      <xdr:colOff>246984</xdr:colOff>
      <xdr:row>25</xdr:row>
      <xdr:rowOff>242430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7FFC8092-F7E4-45D2-A097-D2D7F7D511A9}"/>
            </a:ext>
          </a:extLst>
        </xdr:cNvPr>
        <xdr:cNvSpPr/>
      </xdr:nvSpPr>
      <xdr:spPr>
        <a:xfrm>
          <a:off x="28095393" y="7176012"/>
          <a:ext cx="1202841" cy="886136"/>
        </a:xfrm>
        <a:prstGeom prst="rect">
          <a:avLst/>
        </a:prstGeom>
        <a:solidFill>
          <a:srgbClr val="21275D"/>
        </a:solidFill>
        <a:ln>
          <a:solidFill>
            <a:srgbClr val="21275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6</xdr:col>
      <xdr:colOff>1055007</xdr:colOff>
      <xdr:row>39</xdr:row>
      <xdr:rowOff>3291</xdr:rowOff>
    </xdr:from>
    <xdr:to>
      <xdr:col>7</xdr:col>
      <xdr:colOff>634322</xdr:colOff>
      <xdr:row>40</xdr:row>
      <xdr:rowOff>23700</xdr:rowOff>
    </xdr:to>
    <xdr:sp macro="" textlink="">
      <xdr:nvSpPr>
        <xdr:cNvPr id="22" name="Isosceles Triangle 21">
          <a:extLst>
            <a:ext uri="{FF2B5EF4-FFF2-40B4-BE49-F238E27FC236}">
              <a16:creationId xmlns:a16="http://schemas.microsoft.com/office/drawing/2014/main" id="{BA0AA3D0-AA27-4E0A-9D28-8980F530ACDC}"/>
            </a:ext>
          </a:extLst>
        </xdr:cNvPr>
        <xdr:cNvSpPr/>
      </xdr:nvSpPr>
      <xdr:spPr>
        <a:xfrm rot="10800000">
          <a:off x="5877038" y="13624041"/>
          <a:ext cx="650878" cy="329972"/>
        </a:xfrm>
        <a:prstGeom prst="triangle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1060016</xdr:colOff>
      <xdr:row>35</xdr:row>
      <xdr:rowOff>4330</xdr:rowOff>
    </xdr:from>
    <xdr:to>
      <xdr:col>7</xdr:col>
      <xdr:colOff>495730</xdr:colOff>
      <xdr:row>39</xdr:row>
      <xdr:rowOff>32112</xdr:rowOff>
    </xdr:to>
    <xdr:sp macro="" textlink="">
      <xdr:nvSpPr>
        <xdr:cNvPr id="5" name="Isosceles Triangle 4">
          <a:extLst>
            <a:ext uri="{FF2B5EF4-FFF2-40B4-BE49-F238E27FC236}">
              <a16:creationId xmlns:a16="http://schemas.microsoft.com/office/drawing/2014/main" id="{FF94D466-7704-481B-A9A7-6FD8648A5F07}"/>
            </a:ext>
          </a:extLst>
        </xdr:cNvPr>
        <xdr:cNvSpPr/>
      </xdr:nvSpPr>
      <xdr:spPr>
        <a:xfrm rot="5400000">
          <a:off x="5657451" y="12920989"/>
          <a:ext cx="956469" cy="507277"/>
        </a:xfrm>
        <a:prstGeom prst="triangle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1022</xdr:colOff>
      <xdr:row>39</xdr:row>
      <xdr:rowOff>235745</xdr:rowOff>
    </xdr:from>
    <xdr:to>
      <xdr:col>9</xdr:col>
      <xdr:colOff>330994</xdr:colOff>
      <xdr:row>41</xdr:row>
      <xdr:rowOff>267498</xdr:rowOff>
    </xdr:to>
    <xdr:sp macro="" textlink="">
      <xdr:nvSpPr>
        <xdr:cNvPr id="23" name="Isosceles Triangle 22">
          <a:extLst>
            <a:ext uri="{FF2B5EF4-FFF2-40B4-BE49-F238E27FC236}">
              <a16:creationId xmlns:a16="http://schemas.microsoft.com/office/drawing/2014/main" id="{0AD30CF9-D2E6-43BE-9F4A-71D8A01D56EE}"/>
            </a:ext>
          </a:extLst>
        </xdr:cNvPr>
        <xdr:cNvSpPr/>
      </xdr:nvSpPr>
      <xdr:spPr>
        <a:xfrm rot="5400000">
          <a:off x="7877288" y="14016948"/>
          <a:ext cx="650878" cy="329972"/>
        </a:xfrm>
        <a:prstGeom prst="triangle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1043779</xdr:colOff>
      <xdr:row>43</xdr:row>
      <xdr:rowOff>76685</xdr:rowOff>
    </xdr:from>
    <xdr:to>
      <xdr:col>9</xdr:col>
      <xdr:colOff>722311</xdr:colOff>
      <xdr:row>45</xdr:row>
      <xdr:rowOff>171609</xdr:rowOff>
    </xdr:to>
    <xdr:pic>
      <xdr:nvPicPr>
        <xdr:cNvPr id="25" name="Picture 24" descr="Ouagadougou Partnership">
          <a:extLst>
            <a:ext uri="{FF2B5EF4-FFF2-40B4-BE49-F238E27FC236}">
              <a16:creationId xmlns:a16="http://schemas.microsoft.com/office/drawing/2014/main" id="{F75E2D22-7F0F-4F44-81C8-803B35D47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4379" y="15519885"/>
          <a:ext cx="2993232" cy="606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34</xdr:row>
      <xdr:rowOff>185737</xdr:rowOff>
    </xdr:from>
    <xdr:to>
      <xdr:col>10</xdr:col>
      <xdr:colOff>733425</xdr:colOff>
      <xdr:row>49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5C7DCF-1C6A-4C9F-A332-6F5D7CCB71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468629</xdr:colOff>
      <xdr:row>3</xdr:row>
      <xdr:rowOff>79533</xdr:rowOff>
    </xdr:from>
    <xdr:to>
      <xdr:col>24</xdr:col>
      <xdr:colOff>119062</xdr:colOff>
      <xdr:row>22</xdr:row>
      <xdr:rowOff>2380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B830B8-FE0D-40B0-9CA1-FC50ECCD06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176212</xdr:colOff>
      <xdr:row>37</xdr:row>
      <xdr:rowOff>100011</xdr:rowOff>
    </xdr:from>
    <xdr:to>
      <xdr:col>12</xdr:col>
      <xdr:colOff>95250</xdr:colOff>
      <xdr:row>58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23E6D1-4410-4248-B249-3CA5AD5F13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1</xdr:row>
      <xdr:rowOff>14287</xdr:rowOff>
    </xdr:from>
    <xdr:to>
      <xdr:col>16</xdr:col>
      <xdr:colOff>392906</xdr:colOff>
      <xdr:row>23</xdr:row>
      <xdr:rowOff>154781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CCF31A-080F-4F08-A612-736188189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illiamson/Dropbox/FPET%20Data/Indicator%201-4%20Calculations/Indicators%201-4%20Annual%20Report%20Consolidated%202.9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Update (Jan 2016) v1"/>
      <sheetName val="2015 Update (March 2015)"/>
      <sheetName val="2016 Update (Mar 2016) v2"/>
      <sheetName val="2015 Report (Jul 2015)"/>
      <sheetName val="2014 Report (Oct 2014)"/>
      <sheetName val="Updates"/>
      <sheetName val="Anomalies"/>
      <sheetName val="Anomalies (2015 Update)"/>
      <sheetName val="mCPR Regional Ratios (post 2015"/>
      <sheetName val=" Anomalies - old for Gates dash"/>
      <sheetName val="old sheet for 1-15 dashboard"/>
      <sheetName val="3-15 Dashboard"/>
      <sheetName val="2013 report projections"/>
      <sheetName val="2016 Update (Jan 2016) v2"/>
    </sheetNames>
    <sheetDataSet>
      <sheetData sheetId="0" refreshError="1"/>
      <sheetData sheetId="1"/>
      <sheetData sheetId="2"/>
      <sheetData sheetId="3">
        <row r="6">
          <cell r="A6" t="str">
            <v>Afghanistan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essica Williamson" id="{E8C5919D-AD0C-424F-8523-3FC03BE9C11F}" userId="S::JWilliamson@avenirhealth.org::71e97779-5dee-4eb6-87ca-70c1b1c05501" providerId="AD"/>
</personList>
</file>

<file path=xl/theme/theme1.xml><?xml version="1.0" encoding="utf-8"?>
<a:theme xmlns:a="http://schemas.openxmlformats.org/drawingml/2006/main" name="Office Theme">
  <a:themeElements>
    <a:clrScheme name="Custom 15">
      <a:dk1>
        <a:sysClr val="windowText" lastClr="000000"/>
      </a:dk1>
      <a:lt1>
        <a:sysClr val="window" lastClr="FFFFFF"/>
      </a:lt1>
      <a:dk2>
        <a:srgbClr val="21275D"/>
      </a:dk2>
      <a:lt2>
        <a:srgbClr val="CD9C47"/>
      </a:lt2>
      <a:accent1>
        <a:srgbClr val="AAAFDD"/>
      </a:accent1>
      <a:accent2>
        <a:srgbClr val="7A80BF"/>
      </a:accent2>
      <a:accent3>
        <a:srgbClr val="4D56AA"/>
      </a:accent3>
      <a:accent4>
        <a:srgbClr val="A5A5A5"/>
      </a:accent4>
      <a:accent5>
        <a:srgbClr val="FCD116"/>
      </a:accent5>
      <a:accent6>
        <a:srgbClr val="024947"/>
      </a:accent6>
      <a:hlink>
        <a:srgbClr val="8DC645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0" dT="2020-07-28T13:10:53.93" personId="{E8C5919D-AD0C-424F-8523-3FC03BE9C11F}" id="{A93ADC9E-FE24-4CF6-845B-D0EACEE20D51}">
    <text>MEO didn't update ratio - used MICS 2015-but shoudl use 2018 DHS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1" dT="2020-10-28T18:52:42.09" personId="{E8C5919D-AD0C-424F-8523-3FC03BE9C11F}" id="{217C66A1-8A33-4A3A-8BF3-8CB06A90D288}">
    <text>Note - Niger uses a trended ratio from multiple surveys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34BE-F1E3-44B7-8751-E9FAE83CEE65}">
  <dimension ref="A1:FK41"/>
  <sheetViews>
    <sheetView showGridLines="0" zoomScale="80" zoomScaleNormal="80" workbookViewId="0">
      <pane xSplit="4" ySplit="5" topLeftCell="EG6" activePane="bottomRight" state="frozen"/>
      <selection pane="topRight" activeCell="E1" sqref="E1"/>
      <selection pane="bottomLeft" activeCell="A6" sqref="A6"/>
      <selection pane="bottomRight" activeCell="M14" sqref="M14"/>
    </sheetView>
  </sheetViews>
  <sheetFormatPr defaultRowHeight="14.5" x14ac:dyDescent="0.35"/>
  <cols>
    <col min="1" max="1" width="21.90625" customWidth="1"/>
    <col min="2" max="2" width="15.36328125" customWidth="1"/>
    <col min="3" max="3" width="16.36328125" customWidth="1"/>
    <col min="4" max="4" width="14.36328125" customWidth="1"/>
    <col min="5" max="5" width="19.453125" customWidth="1"/>
    <col min="6" max="6" width="16.08984375" customWidth="1"/>
    <col min="8" max="8" width="13.1796875" customWidth="1"/>
    <col min="9" max="9" width="15.54296875" customWidth="1"/>
    <col min="10" max="10" width="11.90625" customWidth="1"/>
    <col min="11" max="11" width="13.1796875" customWidth="1"/>
    <col min="13" max="13" width="11.453125" customWidth="1"/>
    <col min="40" max="41" width="9.08984375" style="1"/>
    <col min="50" max="59" width="14.36328125" customWidth="1"/>
    <col min="60" max="69" width="12.36328125" customWidth="1"/>
    <col min="70" max="77" width="10.54296875" customWidth="1"/>
    <col min="78" max="78" width="12.90625" customWidth="1"/>
    <col min="79" max="79" width="10.54296875" customWidth="1"/>
    <col min="80" max="84" width="9" bestFit="1" customWidth="1"/>
    <col min="85" max="86" width="9.36328125" bestFit="1" customWidth="1"/>
    <col min="87" max="89" width="11" bestFit="1" customWidth="1"/>
    <col min="110" max="136" width="0" hidden="1" customWidth="1"/>
    <col min="138" max="147" width="10.08984375" customWidth="1"/>
    <col min="156" max="157" width="8.90625" style="1"/>
    <col min="166" max="167" width="8.90625" style="1"/>
  </cols>
  <sheetData>
    <row r="1" spans="1:167" ht="15" thickBot="1" x14ac:dyDescent="0.4">
      <c r="A1" s="96"/>
      <c r="B1" s="97"/>
      <c r="C1" s="98"/>
      <c r="D1" s="99"/>
      <c r="E1" s="101"/>
      <c r="F1" s="101"/>
      <c r="G1" s="102"/>
      <c r="H1" s="103">
        <f>COUNTIF(H6:H76, "y")</f>
        <v>7</v>
      </c>
      <c r="I1" s="104"/>
      <c r="J1" s="104"/>
      <c r="K1" s="104"/>
      <c r="L1" s="104"/>
      <c r="M1" s="104"/>
      <c r="N1" s="102"/>
      <c r="O1" s="102"/>
      <c r="P1" s="102"/>
      <c r="Q1" s="102"/>
      <c r="U1" s="90"/>
      <c r="AB1" s="105"/>
      <c r="AC1" s="105"/>
      <c r="AD1" s="106"/>
      <c r="AE1" s="106"/>
      <c r="AF1" s="106"/>
      <c r="AG1" s="106"/>
      <c r="AH1" s="106"/>
      <c r="AI1" s="106"/>
      <c r="AJ1" s="106"/>
      <c r="AK1" s="106"/>
      <c r="AL1" s="106"/>
      <c r="AM1" s="107"/>
      <c r="AN1" s="123"/>
      <c r="AO1" s="123"/>
      <c r="AP1" s="108"/>
    </row>
    <row r="2" spans="1:167" x14ac:dyDescent="0.35">
      <c r="A2" s="100" t="s">
        <v>40</v>
      </c>
      <c r="B2" s="109">
        <v>44132.619259375002</v>
      </c>
      <c r="E2" s="202"/>
      <c r="F2" s="203"/>
      <c r="G2" s="204"/>
      <c r="H2" s="30"/>
      <c r="I2" s="31"/>
      <c r="J2" s="31"/>
      <c r="K2" s="31"/>
      <c r="L2" s="31"/>
      <c r="M2" s="205"/>
      <c r="N2" s="209"/>
      <c r="O2" s="210"/>
      <c r="P2" s="210"/>
      <c r="Q2" s="211"/>
      <c r="R2" s="75"/>
      <c r="S2" s="216"/>
      <c r="T2" s="76"/>
      <c r="U2" s="76"/>
      <c r="V2" s="76"/>
      <c r="W2" s="76"/>
      <c r="X2" s="76"/>
      <c r="Y2" s="76"/>
      <c r="Z2" s="76"/>
      <c r="AA2" s="77"/>
      <c r="AB2" s="496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8"/>
      <c r="AN2" s="222"/>
      <c r="AO2" s="223"/>
      <c r="AP2" s="223"/>
      <c r="AQ2" s="223"/>
      <c r="AR2" s="223"/>
      <c r="AS2" s="223"/>
      <c r="AT2" s="223"/>
      <c r="AU2" s="223"/>
      <c r="AV2" s="223"/>
      <c r="AW2" s="224"/>
      <c r="AX2" s="230"/>
      <c r="AY2" s="231"/>
      <c r="AZ2" s="231"/>
      <c r="BA2" s="231"/>
      <c r="BB2" s="231"/>
      <c r="BC2" s="231"/>
      <c r="BD2" s="231"/>
      <c r="BE2" s="231"/>
      <c r="BF2" s="231"/>
      <c r="BG2" s="231"/>
      <c r="BH2" s="43"/>
      <c r="BI2" s="234"/>
      <c r="BJ2" s="44"/>
      <c r="BK2" s="44"/>
      <c r="BL2" s="44"/>
      <c r="BM2" s="44"/>
      <c r="BN2" s="44"/>
      <c r="BO2" s="44"/>
      <c r="BP2" s="44"/>
      <c r="BQ2" s="54"/>
      <c r="BR2" s="237"/>
      <c r="BS2" s="238"/>
      <c r="BT2" s="238"/>
      <c r="BU2" s="238"/>
      <c r="BV2" s="238"/>
      <c r="BW2" s="238"/>
      <c r="BX2" s="238"/>
      <c r="BY2" s="238"/>
      <c r="BZ2" s="238"/>
      <c r="CA2" s="238"/>
      <c r="CB2" s="237"/>
      <c r="CC2" s="238"/>
      <c r="CD2" s="238"/>
      <c r="CE2" s="238"/>
      <c r="CF2" s="238"/>
      <c r="CG2" s="238"/>
      <c r="CH2" s="238"/>
      <c r="CI2" s="238"/>
      <c r="CJ2" s="238"/>
      <c r="CK2" s="239"/>
      <c r="CL2" s="244"/>
      <c r="CM2" s="245"/>
      <c r="CN2" s="245"/>
      <c r="CO2" s="245"/>
      <c r="CP2" s="245"/>
      <c r="CQ2" s="245"/>
      <c r="CR2" s="245"/>
      <c r="CS2" s="245"/>
      <c r="CT2" s="245"/>
      <c r="CU2" s="246"/>
      <c r="CV2" s="248"/>
      <c r="CW2" s="249"/>
      <c r="CX2" s="249"/>
      <c r="CY2" s="249"/>
      <c r="CZ2" s="249"/>
      <c r="DA2" s="249"/>
      <c r="DB2" s="249"/>
      <c r="DC2" s="249"/>
      <c r="DD2" s="249"/>
      <c r="DE2" s="25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EH2" s="324"/>
      <c r="EI2" s="322"/>
      <c r="EJ2" s="322"/>
      <c r="EK2" s="322"/>
      <c r="EL2" s="322"/>
      <c r="EM2" s="322"/>
      <c r="EN2" s="322"/>
      <c r="EO2" s="322"/>
      <c r="EP2" s="322"/>
      <c r="EQ2" s="325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5"/>
      <c r="FC2" s="46"/>
      <c r="FD2" s="46"/>
      <c r="FE2" s="46"/>
      <c r="FF2" s="46"/>
      <c r="FG2" s="46"/>
      <c r="FH2" s="46"/>
      <c r="FI2" s="46"/>
      <c r="FJ2" s="46"/>
      <c r="FK2" s="50"/>
    </row>
    <row r="3" spans="1:167" s="111" customFormat="1" ht="23.25" customHeight="1" x14ac:dyDescent="0.35">
      <c r="A3" s="48"/>
      <c r="B3" s="432"/>
      <c r="C3"/>
      <c r="D3"/>
      <c r="E3" s="488" t="s">
        <v>0</v>
      </c>
      <c r="F3" s="489"/>
      <c r="G3" s="489"/>
      <c r="H3" s="489"/>
      <c r="I3" s="489"/>
      <c r="J3" s="489"/>
      <c r="K3" s="489"/>
      <c r="L3" s="489"/>
      <c r="M3" s="490"/>
      <c r="N3" s="491" t="s">
        <v>255</v>
      </c>
      <c r="O3" s="492"/>
      <c r="P3" s="492"/>
      <c r="Q3" s="493"/>
      <c r="R3" s="482" t="s">
        <v>41</v>
      </c>
      <c r="S3" s="483"/>
      <c r="T3" s="483"/>
      <c r="U3" s="483"/>
      <c r="V3" s="483"/>
      <c r="W3" s="483"/>
      <c r="X3" s="483"/>
      <c r="Y3" s="483"/>
      <c r="Z3" s="483"/>
      <c r="AA3" s="484"/>
      <c r="AB3" s="499" t="s">
        <v>42</v>
      </c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1"/>
      <c r="AN3" s="225"/>
      <c r="AO3" s="502" t="s">
        <v>43</v>
      </c>
      <c r="AP3" s="502"/>
      <c r="AQ3" s="502"/>
      <c r="AR3" s="502"/>
      <c r="AS3" s="502"/>
      <c r="AT3" s="502"/>
      <c r="AU3" s="502"/>
      <c r="AV3" s="502"/>
      <c r="AW3" s="503"/>
      <c r="AX3" s="232"/>
      <c r="AY3" s="485" t="s">
        <v>44</v>
      </c>
      <c r="AZ3" s="485"/>
      <c r="BA3" s="485"/>
      <c r="BB3" s="485"/>
      <c r="BC3" s="485"/>
      <c r="BD3" s="485"/>
      <c r="BE3" s="485"/>
      <c r="BF3" s="485"/>
      <c r="BG3" s="485"/>
      <c r="BH3" s="235"/>
      <c r="BI3" s="486" t="s">
        <v>45</v>
      </c>
      <c r="BJ3" s="486"/>
      <c r="BK3" s="486"/>
      <c r="BL3" s="486"/>
      <c r="BM3" s="486"/>
      <c r="BN3" s="486"/>
      <c r="BO3" s="486"/>
      <c r="BP3" s="486"/>
      <c r="BQ3" s="487"/>
      <c r="BR3" s="240"/>
      <c r="BS3" s="494" t="s">
        <v>46</v>
      </c>
      <c r="BT3" s="494"/>
      <c r="BU3" s="494"/>
      <c r="BV3" s="494"/>
      <c r="BW3" s="494"/>
      <c r="BX3" s="494"/>
      <c r="BY3" s="494"/>
      <c r="BZ3" s="494"/>
      <c r="CA3" s="494"/>
      <c r="CB3" s="240"/>
      <c r="CC3" s="494" t="s">
        <v>46</v>
      </c>
      <c r="CD3" s="494"/>
      <c r="CE3" s="494"/>
      <c r="CF3" s="494"/>
      <c r="CG3" s="494"/>
      <c r="CH3" s="494"/>
      <c r="CI3" s="494"/>
      <c r="CJ3" s="494"/>
      <c r="CK3" s="495"/>
      <c r="CL3" s="513" t="s">
        <v>47</v>
      </c>
      <c r="CM3" s="509"/>
      <c r="CN3" s="509"/>
      <c r="CO3" s="509"/>
      <c r="CP3" s="509"/>
      <c r="CQ3" s="509"/>
      <c r="CR3" s="509"/>
      <c r="CS3" s="509"/>
      <c r="CT3" s="509"/>
      <c r="CU3" s="514"/>
      <c r="CV3" s="515" t="s">
        <v>48</v>
      </c>
      <c r="CW3" s="516"/>
      <c r="CX3" s="516"/>
      <c r="CY3" s="516"/>
      <c r="CZ3" s="516"/>
      <c r="DA3" s="516"/>
      <c r="DB3" s="516"/>
      <c r="DC3" s="516"/>
      <c r="DD3" s="516"/>
      <c r="DE3" s="517"/>
      <c r="DF3" s="509" t="s">
        <v>49</v>
      </c>
      <c r="DG3" s="509"/>
      <c r="DH3" s="510"/>
      <c r="DI3" s="510"/>
      <c r="DJ3" s="510"/>
      <c r="DK3" s="510"/>
      <c r="DL3" s="510"/>
      <c r="DM3" s="510"/>
      <c r="DN3" s="510"/>
      <c r="DO3" s="511"/>
      <c r="DP3" s="512" t="s">
        <v>50</v>
      </c>
      <c r="DQ3" s="510"/>
      <c r="DR3" s="510"/>
      <c r="DS3" s="510"/>
      <c r="DT3" s="510"/>
      <c r="DU3" s="510"/>
      <c r="DV3" s="510"/>
      <c r="DW3" s="510"/>
      <c r="DX3" s="511"/>
      <c r="DY3"/>
      <c r="DZ3"/>
      <c r="EA3"/>
      <c r="EB3"/>
      <c r="EC3"/>
      <c r="ED3"/>
      <c r="EE3"/>
      <c r="EF3"/>
      <c r="EG3"/>
      <c r="EH3" s="518" t="s">
        <v>21</v>
      </c>
      <c r="EI3" s="519"/>
      <c r="EJ3" s="519"/>
      <c r="EK3" s="519"/>
      <c r="EL3" s="519"/>
      <c r="EM3" s="519"/>
      <c r="EN3" s="519"/>
      <c r="EO3" s="519"/>
      <c r="EP3" s="519"/>
      <c r="EQ3" s="351"/>
      <c r="ER3" s="507" t="s">
        <v>22</v>
      </c>
      <c r="ES3" s="507"/>
      <c r="ET3" s="507"/>
      <c r="EU3" s="507"/>
      <c r="EV3" s="507"/>
      <c r="EW3" s="507"/>
      <c r="EX3" s="507"/>
      <c r="EY3" s="507"/>
      <c r="EZ3" s="507"/>
      <c r="FA3" s="507"/>
      <c r="FB3" s="504" t="s">
        <v>23</v>
      </c>
      <c r="FC3" s="505"/>
      <c r="FD3" s="505"/>
      <c r="FE3" s="505"/>
      <c r="FF3" s="505"/>
      <c r="FG3" s="505"/>
      <c r="FH3" s="505"/>
      <c r="FI3" s="505"/>
      <c r="FJ3" s="505"/>
      <c r="FK3" s="506"/>
    </row>
    <row r="4" spans="1:167" s="111" customFormat="1" ht="23.25" customHeight="1" x14ac:dyDescent="0.35">
      <c r="A4"/>
      <c r="B4" s="97"/>
      <c r="C4"/>
      <c r="D4"/>
      <c r="E4" s="477" t="s">
        <v>1</v>
      </c>
      <c r="F4" s="478"/>
      <c r="G4" s="478"/>
      <c r="H4" s="478"/>
      <c r="I4" s="479" t="s">
        <v>2</v>
      </c>
      <c r="J4" s="480"/>
      <c r="K4" s="480"/>
      <c r="L4" s="481"/>
      <c r="M4" s="206" t="s">
        <v>51</v>
      </c>
      <c r="N4" s="491"/>
      <c r="O4" s="492"/>
      <c r="P4" s="492"/>
      <c r="Q4" s="493"/>
      <c r="R4" s="482"/>
      <c r="S4" s="483"/>
      <c r="T4" s="483"/>
      <c r="U4" s="483"/>
      <c r="V4" s="483"/>
      <c r="W4" s="483"/>
      <c r="X4" s="483"/>
      <c r="Y4" s="483"/>
      <c r="Z4" s="483"/>
      <c r="AA4" s="484"/>
      <c r="AB4" s="499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1"/>
      <c r="AN4" s="225"/>
      <c r="AO4" s="502"/>
      <c r="AP4" s="502"/>
      <c r="AQ4" s="502"/>
      <c r="AR4" s="502"/>
      <c r="AS4" s="502"/>
      <c r="AT4" s="502"/>
      <c r="AU4" s="502"/>
      <c r="AV4" s="502"/>
      <c r="AW4" s="503"/>
      <c r="AX4" s="232"/>
      <c r="AY4" s="485"/>
      <c r="AZ4" s="485"/>
      <c r="BA4" s="485"/>
      <c r="BB4" s="485"/>
      <c r="BC4" s="485"/>
      <c r="BD4" s="485"/>
      <c r="BE4" s="485"/>
      <c r="BF4" s="485"/>
      <c r="BG4" s="485"/>
      <c r="BH4" s="235"/>
      <c r="BI4" s="486"/>
      <c r="BJ4" s="486"/>
      <c r="BK4" s="486"/>
      <c r="BL4" s="486"/>
      <c r="BM4" s="486"/>
      <c r="BN4" s="486"/>
      <c r="BO4" s="486"/>
      <c r="BP4" s="486"/>
      <c r="BQ4" s="487"/>
      <c r="BR4" s="240"/>
      <c r="BS4" s="494"/>
      <c r="BT4" s="494"/>
      <c r="BU4" s="494"/>
      <c r="BV4" s="494"/>
      <c r="BW4" s="494"/>
      <c r="BX4" s="494"/>
      <c r="BY4" s="494"/>
      <c r="BZ4" s="494"/>
      <c r="CA4" s="494"/>
      <c r="CB4" s="240"/>
      <c r="CC4" s="494"/>
      <c r="CD4" s="494"/>
      <c r="CE4" s="494"/>
      <c r="CF4" s="494"/>
      <c r="CG4" s="494"/>
      <c r="CH4" s="494"/>
      <c r="CI4" s="494"/>
      <c r="CJ4" s="494"/>
      <c r="CK4" s="495"/>
      <c r="CL4" s="253"/>
      <c r="CM4" s="254"/>
      <c r="CN4" s="254"/>
      <c r="CO4" s="254"/>
      <c r="CP4" s="254"/>
      <c r="CQ4" s="254"/>
      <c r="CR4" s="254"/>
      <c r="CS4" s="254"/>
      <c r="CT4" s="254"/>
      <c r="CU4" s="255"/>
      <c r="CV4" s="256"/>
      <c r="CW4" s="257"/>
      <c r="CX4" s="257"/>
      <c r="CY4" s="257"/>
      <c r="CZ4" s="257"/>
      <c r="DA4" s="257"/>
      <c r="DB4" s="257"/>
      <c r="DC4" s="257"/>
      <c r="DD4" s="257"/>
      <c r="DE4" s="258"/>
      <c r="DF4" s="509"/>
      <c r="DG4" s="509"/>
      <c r="DH4" s="510"/>
      <c r="DI4" s="510"/>
      <c r="DJ4" s="510"/>
      <c r="DK4" s="510"/>
      <c r="DL4" s="510"/>
      <c r="DM4" s="510"/>
      <c r="DN4" s="510"/>
      <c r="DO4" s="511"/>
      <c r="DP4" s="512"/>
      <c r="DQ4" s="510"/>
      <c r="DR4" s="510"/>
      <c r="DS4" s="510"/>
      <c r="DT4" s="510"/>
      <c r="DU4" s="510"/>
      <c r="DV4" s="510"/>
      <c r="DW4" s="510"/>
      <c r="DX4" s="511"/>
      <c r="DY4"/>
      <c r="DZ4"/>
      <c r="EA4"/>
      <c r="EB4"/>
      <c r="EC4"/>
      <c r="ED4"/>
      <c r="EE4"/>
      <c r="EF4"/>
      <c r="EG4"/>
      <c r="EH4" s="520"/>
      <c r="EI4" s="521"/>
      <c r="EJ4" s="521"/>
      <c r="EK4" s="521"/>
      <c r="EL4" s="521"/>
      <c r="EM4" s="521"/>
      <c r="EN4" s="521"/>
      <c r="EO4" s="521"/>
      <c r="EP4" s="521"/>
      <c r="EQ4" s="352"/>
      <c r="ER4" s="508"/>
      <c r="ES4" s="508"/>
      <c r="ET4" s="508"/>
      <c r="EU4" s="508"/>
      <c r="EV4" s="508"/>
      <c r="EW4" s="508"/>
      <c r="EX4" s="508"/>
      <c r="EY4" s="508"/>
      <c r="EZ4" s="508"/>
      <c r="FA4" s="508"/>
      <c r="FB4" s="504"/>
      <c r="FC4" s="505"/>
      <c r="FD4" s="505"/>
      <c r="FE4" s="505"/>
      <c r="FF4" s="505"/>
      <c r="FG4" s="505"/>
      <c r="FH4" s="505"/>
      <c r="FI4" s="505"/>
      <c r="FJ4" s="505"/>
      <c r="FK4" s="506"/>
    </row>
    <row r="5" spans="1:167" s="112" customFormat="1" ht="69" customHeight="1" x14ac:dyDescent="0.35">
      <c r="A5" s="112" t="s">
        <v>67</v>
      </c>
      <c r="B5" s="112" t="s">
        <v>68</v>
      </c>
      <c r="C5" s="113" t="s">
        <v>52</v>
      </c>
      <c r="D5" s="113" t="s">
        <v>53</v>
      </c>
      <c r="E5" s="207" t="s">
        <v>3</v>
      </c>
      <c r="F5" s="2" t="s">
        <v>54</v>
      </c>
      <c r="G5" s="3" t="s">
        <v>4</v>
      </c>
      <c r="H5" s="3" t="s">
        <v>55</v>
      </c>
      <c r="I5" s="114" t="s">
        <v>3</v>
      </c>
      <c r="J5" s="3" t="s">
        <v>4</v>
      </c>
      <c r="K5" s="3" t="s">
        <v>56</v>
      </c>
      <c r="L5" s="115" t="s">
        <v>57</v>
      </c>
      <c r="M5" s="208" t="s">
        <v>3</v>
      </c>
      <c r="N5" s="212" t="s">
        <v>58</v>
      </c>
      <c r="O5" s="213" t="s">
        <v>59</v>
      </c>
      <c r="P5" s="213" t="s">
        <v>60</v>
      </c>
      <c r="Q5" s="214" t="s">
        <v>51</v>
      </c>
      <c r="R5" s="78">
        <v>2011.5</v>
      </c>
      <c r="S5" s="5">
        <v>2012.5</v>
      </c>
      <c r="T5" s="5">
        <v>2013.5</v>
      </c>
      <c r="U5" s="5">
        <v>2014.5</v>
      </c>
      <c r="V5" s="5">
        <v>2015.5</v>
      </c>
      <c r="W5" s="5">
        <v>2016.5</v>
      </c>
      <c r="X5" s="5">
        <v>2017.5</v>
      </c>
      <c r="Y5" s="5">
        <v>2018.5</v>
      </c>
      <c r="Z5" s="5">
        <v>2019.5</v>
      </c>
      <c r="AA5" s="79">
        <v>2020.5</v>
      </c>
      <c r="AB5" s="217" t="s">
        <v>5</v>
      </c>
      <c r="AC5" s="215">
        <v>2011.5</v>
      </c>
      <c r="AD5" s="215">
        <v>2012.5</v>
      </c>
      <c r="AE5" s="215">
        <v>2013.5</v>
      </c>
      <c r="AF5" s="215">
        <v>2014.5</v>
      </c>
      <c r="AG5" s="215">
        <v>2015.5</v>
      </c>
      <c r="AH5" s="215">
        <v>2016.5</v>
      </c>
      <c r="AI5" s="215">
        <v>2017.5</v>
      </c>
      <c r="AJ5" s="215">
        <v>2018.5</v>
      </c>
      <c r="AK5" s="215">
        <v>2019.5</v>
      </c>
      <c r="AL5" s="215">
        <v>2020.5</v>
      </c>
      <c r="AM5" s="218" t="s">
        <v>61</v>
      </c>
      <c r="AN5" s="226">
        <v>2011.5</v>
      </c>
      <c r="AO5" s="124">
        <v>2012.5</v>
      </c>
      <c r="AP5" s="124">
        <v>2013.5</v>
      </c>
      <c r="AQ5" s="124">
        <v>2014.5</v>
      </c>
      <c r="AR5" s="124">
        <v>2015.5</v>
      </c>
      <c r="AS5" s="122">
        <v>2016.5</v>
      </c>
      <c r="AT5" s="122">
        <v>2017.5</v>
      </c>
      <c r="AU5" s="122">
        <v>2018.5</v>
      </c>
      <c r="AV5" s="122">
        <v>2019.5</v>
      </c>
      <c r="AW5" s="227">
        <v>2020.5</v>
      </c>
      <c r="AX5" s="233">
        <v>2011.5</v>
      </c>
      <c r="AY5" s="125">
        <v>2012.5</v>
      </c>
      <c r="AZ5" s="126">
        <v>2013.5</v>
      </c>
      <c r="BA5" s="125">
        <v>2014.5</v>
      </c>
      <c r="BB5" s="125">
        <v>2015.5</v>
      </c>
      <c r="BC5" s="125">
        <v>2016.5</v>
      </c>
      <c r="BD5" s="125">
        <v>2017.5</v>
      </c>
      <c r="BE5" s="125">
        <v>2018.5</v>
      </c>
      <c r="BF5" s="125">
        <v>2019.5</v>
      </c>
      <c r="BG5" s="125">
        <v>2020.5</v>
      </c>
      <c r="BH5" s="55" t="s">
        <v>70</v>
      </c>
      <c r="BI5" s="127">
        <v>2012.5</v>
      </c>
      <c r="BJ5" s="128">
        <v>2013.5</v>
      </c>
      <c r="BK5" s="127">
        <v>2014.5</v>
      </c>
      <c r="BL5" s="127">
        <v>2015.5</v>
      </c>
      <c r="BM5" s="127">
        <v>2016.5</v>
      </c>
      <c r="BN5" s="127">
        <v>2017.5</v>
      </c>
      <c r="BO5" s="127">
        <v>2018.5</v>
      </c>
      <c r="BP5" s="127">
        <v>2019.5</v>
      </c>
      <c r="BQ5" s="236">
        <v>2020.5</v>
      </c>
      <c r="BR5" s="241">
        <v>2011.5</v>
      </c>
      <c r="BS5" s="129">
        <v>2012.5</v>
      </c>
      <c r="BT5" s="129">
        <v>2013.5</v>
      </c>
      <c r="BU5" s="129">
        <v>2014.5</v>
      </c>
      <c r="BV5" s="129">
        <v>2015.5</v>
      </c>
      <c r="BW5" s="129">
        <v>2016.5</v>
      </c>
      <c r="BX5" s="129">
        <v>2017.5</v>
      </c>
      <c r="BY5" s="129">
        <v>2018.5</v>
      </c>
      <c r="BZ5" s="129">
        <v>2019.5</v>
      </c>
      <c r="CA5" s="129">
        <v>2020.5</v>
      </c>
      <c r="CB5" s="241">
        <v>2011.5</v>
      </c>
      <c r="CC5" s="129">
        <v>2012.5</v>
      </c>
      <c r="CD5" s="129">
        <v>2013.5</v>
      </c>
      <c r="CE5" s="129">
        <v>2014.5</v>
      </c>
      <c r="CF5" s="129">
        <v>2015.5</v>
      </c>
      <c r="CG5" s="129">
        <v>2016.5</v>
      </c>
      <c r="CH5" s="129">
        <v>2017.5</v>
      </c>
      <c r="CI5" s="129">
        <v>2018.5</v>
      </c>
      <c r="CJ5" s="129">
        <v>2019.5</v>
      </c>
      <c r="CK5" s="242">
        <v>2020.5</v>
      </c>
      <c r="CL5" s="243">
        <v>2011.5</v>
      </c>
      <c r="CM5" s="117">
        <v>2012.5</v>
      </c>
      <c r="CN5" s="117">
        <v>2013.5</v>
      </c>
      <c r="CO5" s="117">
        <v>2014.5</v>
      </c>
      <c r="CP5" s="117">
        <v>2015.5</v>
      </c>
      <c r="CQ5" s="117">
        <v>2016.5</v>
      </c>
      <c r="CR5" s="117">
        <v>2017.5</v>
      </c>
      <c r="CS5" s="117">
        <v>2018.5</v>
      </c>
      <c r="CT5" s="117">
        <v>2019.5</v>
      </c>
      <c r="CU5" s="247">
        <v>2020.5</v>
      </c>
      <c r="CV5" s="251">
        <v>2011.5</v>
      </c>
      <c r="CW5" s="119">
        <v>2012.5</v>
      </c>
      <c r="CX5" s="119">
        <v>2013.5</v>
      </c>
      <c r="CY5" s="119">
        <v>2014.5</v>
      </c>
      <c r="CZ5" s="119">
        <v>2015.5</v>
      </c>
      <c r="DA5" s="119">
        <v>2016.5</v>
      </c>
      <c r="DB5" s="119">
        <v>2017.5</v>
      </c>
      <c r="DC5" s="119">
        <v>2018.5</v>
      </c>
      <c r="DD5" s="119">
        <v>2019.5</v>
      </c>
      <c r="DE5" s="252">
        <v>2020.5</v>
      </c>
      <c r="DF5" s="117"/>
      <c r="DG5" s="116">
        <v>2012.5</v>
      </c>
      <c r="DH5" s="117">
        <v>2013.5</v>
      </c>
      <c r="DI5" s="117">
        <v>2014.5</v>
      </c>
      <c r="DJ5" s="117">
        <v>2015.5</v>
      </c>
      <c r="DK5" s="117">
        <v>2016.5</v>
      </c>
      <c r="DL5" s="117">
        <v>2017.5</v>
      </c>
      <c r="DM5" s="117">
        <v>2018.5</v>
      </c>
      <c r="DN5" s="117">
        <v>2019.5</v>
      </c>
      <c r="DO5" s="118">
        <v>2020.5</v>
      </c>
      <c r="DP5" s="116">
        <v>2012.5</v>
      </c>
      <c r="DQ5" s="117">
        <v>2013.5</v>
      </c>
      <c r="DR5" s="117">
        <v>2014.5</v>
      </c>
      <c r="DS5" s="117">
        <v>2015.5</v>
      </c>
      <c r="DT5" s="117">
        <v>2016.5</v>
      </c>
      <c r="DU5" s="117">
        <v>2017.5</v>
      </c>
      <c r="DV5" s="117">
        <v>2018.5</v>
      </c>
      <c r="DW5" s="117">
        <v>2019.5</v>
      </c>
      <c r="DX5" s="118">
        <v>2020.5</v>
      </c>
      <c r="DY5"/>
      <c r="DZ5"/>
      <c r="EA5"/>
      <c r="EB5"/>
      <c r="EC5"/>
      <c r="ED5"/>
      <c r="EE5"/>
      <c r="EF5"/>
      <c r="EG5"/>
      <c r="EH5" s="328">
        <v>2011.5</v>
      </c>
      <c r="EI5" s="329">
        <v>2012.5</v>
      </c>
      <c r="EJ5" s="329">
        <v>2013.5</v>
      </c>
      <c r="EK5" s="329">
        <v>2014.5</v>
      </c>
      <c r="EL5" s="329">
        <v>2015.5</v>
      </c>
      <c r="EM5" s="329">
        <v>2016.5</v>
      </c>
      <c r="EN5" s="329">
        <v>2017.5</v>
      </c>
      <c r="EO5" s="329">
        <v>2018.5</v>
      </c>
      <c r="EP5" s="329">
        <v>2019.5</v>
      </c>
      <c r="EQ5" s="330">
        <v>2020.5</v>
      </c>
      <c r="ER5" s="331">
        <v>2011.5</v>
      </c>
      <c r="ES5" s="331">
        <v>2012.5</v>
      </c>
      <c r="ET5" s="331">
        <v>2013.5</v>
      </c>
      <c r="EU5" s="331">
        <v>2014.5</v>
      </c>
      <c r="EV5" s="331">
        <v>2015.5</v>
      </c>
      <c r="EW5" s="331">
        <v>2016.5</v>
      </c>
      <c r="EX5" s="331">
        <v>2017.5</v>
      </c>
      <c r="EY5" s="331">
        <v>2018.5</v>
      </c>
      <c r="EZ5" s="331">
        <v>2019.5</v>
      </c>
      <c r="FA5" s="331">
        <v>2020.5</v>
      </c>
      <c r="FB5" s="332">
        <v>2011.5</v>
      </c>
      <c r="FC5" s="333">
        <v>2012.5</v>
      </c>
      <c r="FD5" s="333">
        <v>2013.5</v>
      </c>
      <c r="FE5" s="333">
        <v>2014.5</v>
      </c>
      <c r="FF5" s="333">
        <v>2015.5</v>
      </c>
      <c r="FG5" s="333">
        <v>2016.5</v>
      </c>
      <c r="FH5" s="333">
        <v>2017.5</v>
      </c>
      <c r="FI5" s="333">
        <v>2018.5</v>
      </c>
      <c r="FJ5" s="333">
        <v>2019.5</v>
      </c>
      <c r="FK5" s="464">
        <v>2020.5</v>
      </c>
    </row>
    <row r="6" spans="1:167" s="406" customFormat="1" ht="15" customHeight="1" x14ac:dyDescent="0.35">
      <c r="A6" s="377" t="s">
        <v>250</v>
      </c>
      <c r="B6" s="378" t="s">
        <v>251</v>
      </c>
      <c r="C6" s="379" t="s">
        <v>7</v>
      </c>
      <c r="D6" s="380" t="s">
        <v>245</v>
      </c>
      <c r="E6" s="381" t="s">
        <v>257</v>
      </c>
      <c r="F6" s="382" t="s">
        <v>18</v>
      </c>
      <c r="G6" s="382">
        <v>2017.5</v>
      </c>
      <c r="H6" s="382" t="s">
        <v>8</v>
      </c>
      <c r="I6" s="383" t="s">
        <v>62</v>
      </c>
      <c r="J6" s="382">
        <v>2017.5</v>
      </c>
      <c r="K6" s="384" t="str">
        <f t="shared" ref="K6:K14" si="0">AM6</f>
        <v>Ratio</v>
      </c>
      <c r="L6" s="385"/>
      <c r="M6" s="386" t="s">
        <v>64</v>
      </c>
      <c r="N6" s="387" t="s">
        <v>242</v>
      </c>
      <c r="O6" s="388" t="s">
        <v>241</v>
      </c>
      <c r="P6" s="388" t="s">
        <v>242</v>
      </c>
      <c r="Q6" s="389" t="s">
        <v>242</v>
      </c>
      <c r="R6" s="390">
        <v>7.4999999999999997E-2</v>
      </c>
      <c r="S6" s="391">
        <v>0.08</v>
      </c>
      <c r="T6" s="391">
        <v>8.7999999999999995E-2</v>
      </c>
      <c r="U6" s="391">
        <v>9.6000000000000002E-2</v>
      </c>
      <c r="V6" s="391">
        <v>0.10299999999999999</v>
      </c>
      <c r="W6" s="391">
        <v>0.111</v>
      </c>
      <c r="X6" s="391">
        <v>0.11700000000000001</v>
      </c>
      <c r="Y6" s="391">
        <v>0.126</v>
      </c>
      <c r="Z6" s="391">
        <v>0.13300000000000001</v>
      </c>
      <c r="AA6" s="392">
        <v>0.14000000000000001</v>
      </c>
      <c r="AB6" s="393">
        <f>11.7/12.4</f>
        <v>0.94354838709677413</v>
      </c>
      <c r="AC6" s="394">
        <f t="shared" ref="AC6:AL11" si="1">$AB6</f>
        <v>0.94354838709677413</v>
      </c>
      <c r="AD6" s="394">
        <f t="shared" si="1"/>
        <v>0.94354838709677413</v>
      </c>
      <c r="AE6" s="394">
        <f t="shared" si="1"/>
        <v>0.94354838709677413</v>
      </c>
      <c r="AF6" s="394">
        <f t="shared" si="1"/>
        <v>0.94354838709677413</v>
      </c>
      <c r="AG6" s="394">
        <f t="shared" si="1"/>
        <v>0.94354838709677413</v>
      </c>
      <c r="AH6" s="394">
        <f t="shared" si="1"/>
        <v>0.94354838709677413</v>
      </c>
      <c r="AI6" s="394">
        <f t="shared" si="1"/>
        <v>0.94354838709677413</v>
      </c>
      <c r="AJ6" s="394">
        <f t="shared" si="1"/>
        <v>0.94354838709677413</v>
      </c>
      <c r="AK6" s="394">
        <f t="shared" si="1"/>
        <v>0.94354838709677413</v>
      </c>
      <c r="AL6" s="394">
        <f t="shared" si="1"/>
        <v>0.94354838709677413</v>
      </c>
      <c r="AM6" s="395" t="s">
        <v>63</v>
      </c>
      <c r="AN6" s="390">
        <f t="shared" ref="AN6:AN14" si="2">R6*AC6</f>
        <v>7.0766129032258054E-2</v>
      </c>
      <c r="AO6" s="391">
        <f t="shared" ref="AO6:AO14" si="3">S6*AD6</f>
        <v>7.5483870967741937E-2</v>
      </c>
      <c r="AP6" s="391">
        <f t="shared" ref="AP6:AP14" si="4">T6*AE6</f>
        <v>8.3032258064516112E-2</v>
      </c>
      <c r="AQ6" s="391">
        <f t="shared" ref="AQ6:AQ14" si="5">U6*AF6</f>
        <v>9.0580645161290316E-2</v>
      </c>
      <c r="AR6" s="391">
        <f t="shared" ref="AR6:AR14" si="6">V6*AG6</f>
        <v>9.7185483870967732E-2</v>
      </c>
      <c r="AS6" s="391">
        <f t="shared" ref="AS6:AS14" si="7">W6*AH6</f>
        <v>0.10473387096774193</v>
      </c>
      <c r="AT6" s="391">
        <f t="shared" ref="AT6:AT14" si="8">X6*AI6</f>
        <v>0.11039516129032258</v>
      </c>
      <c r="AU6" s="391">
        <f t="shared" ref="AU6:AU14" si="9">Y6*AJ6</f>
        <v>0.11888709677419354</v>
      </c>
      <c r="AV6" s="391">
        <f t="shared" ref="AV6:AV14" si="10">Z6*AK6</f>
        <v>0.12549193548387097</v>
      </c>
      <c r="AW6" s="392">
        <f t="shared" ref="AW6:AW14" si="11">AA6*AL6</f>
        <v>0.1320967741935484</v>
      </c>
      <c r="AX6" s="396">
        <v>2205439</v>
      </c>
      <c r="AY6" s="397">
        <v>2271230.9999999995</v>
      </c>
      <c r="AZ6" s="397">
        <v>2339554</v>
      </c>
      <c r="BA6" s="397">
        <v>2410238</v>
      </c>
      <c r="BB6" s="397">
        <v>2483261</v>
      </c>
      <c r="BC6" s="397">
        <v>2557665</v>
      </c>
      <c r="BD6" s="397">
        <v>2635018.9999999995</v>
      </c>
      <c r="BE6" s="397">
        <v>2715167.9999999991</v>
      </c>
      <c r="BF6" s="397">
        <v>2798003</v>
      </c>
      <c r="BG6" s="397">
        <v>2883397.0000000009</v>
      </c>
      <c r="BH6" s="398">
        <f t="shared" ref="BH6:BH14" si="12">AN6*AX6</f>
        <v>156070.38084677418</v>
      </c>
      <c r="BI6" s="399">
        <f t="shared" ref="BI6:BI14" si="13">AO6*AY6</f>
        <v>171441.30774193545</v>
      </c>
      <c r="BJ6" s="399">
        <f t="shared" ref="BJ6:BJ14" si="14">AP6*AZ6</f>
        <v>194258.45148387091</v>
      </c>
      <c r="BK6" s="399">
        <f t="shared" ref="BK6:BK14" si="15">AQ6*BA6</f>
        <v>218320.91303225805</v>
      </c>
      <c r="BL6" s="399">
        <f t="shared" ref="BL6:BL14" si="16">AR6*BB6</f>
        <v>241336.9218629032</v>
      </c>
      <c r="BM6" s="399">
        <f t="shared" ref="BM6:BM14" si="17">AS6*BC6</f>
        <v>267874.15608870966</v>
      </c>
      <c r="BN6" s="399">
        <f t="shared" ref="BN6:BN14" si="18">AT6*BD6</f>
        <v>290893.34750806447</v>
      </c>
      <c r="BO6" s="399">
        <f t="shared" ref="BO6:BO14" si="19">AU6*BE6</f>
        <v>322798.44077419344</v>
      </c>
      <c r="BP6" s="399">
        <f t="shared" ref="BP6:BP14" si="20">AV6*BF6</f>
        <v>351126.81195967743</v>
      </c>
      <c r="BQ6" s="400">
        <f t="shared" ref="BQ6:BQ14" si="21">AW6*BG6</f>
        <v>380887.44241935498</v>
      </c>
      <c r="BR6" s="398">
        <v>0</v>
      </c>
      <c r="BS6" s="399">
        <f>BI6-$BH6</f>
        <v>15370.926895161276</v>
      </c>
      <c r="BT6" s="399">
        <f t="shared" ref="BT6:CA14" si="22">BJ6-$BH6</f>
        <v>38188.070637096738</v>
      </c>
      <c r="BU6" s="399">
        <f t="shared" si="22"/>
        <v>62250.532185483869</v>
      </c>
      <c r="BV6" s="399">
        <f t="shared" si="22"/>
        <v>85266.54101612902</v>
      </c>
      <c r="BW6" s="399">
        <f t="shared" si="22"/>
        <v>111803.77524193548</v>
      </c>
      <c r="BX6" s="399">
        <f t="shared" si="22"/>
        <v>134822.96666129029</v>
      </c>
      <c r="BY6" s="399">
        <f t="shared" si="22"/>
        <v>166728.05992741926</v>
      </c>
      <c r="BZ6" s="399">
        <f t="shared" si="22"/>
        <v>195056.43111290326</v>
      </c>
      <c r="CA6" s="399">
        <f t="shared" si="22"/>
        <v>224817.0615725808</v>
      </c>
      <c r="CB6" s="398">
        <v>0</v>
      </c>
      <c r="CC6" s="399">
        <v>0</v>
      </c>
      <c r="CD6" s="399">
        <v>0</v>
      </c>
      <c r="CE6" s="399">
        <v>0</v>
      </c>
      <c r="CF6" s="399">
        <v>0</v>
      </c>
      <c r="CG6" s="399">
        <f>BM6-$BL6</f>
        <v>26537.23422580646</v>
      </c>
      <c r="CH6" s="399">
        <f t="shared" ref="CH6:CK14" si="23">BN6-$BL6</f>
        <v>49556.425645161275</v>
      </c>
      <c r="CI6" s="399">
        <f t="shared" si="23"/>
        <v>81461.518911290244</v>
      </c>
      <c r="CJ6" s="399">
        <f t="shared" si="23"/>
        <v>109789.89009677424</v>
      </c>
      <c r="CK6" s="400">
        <f>BQ6-$BL6</f>
        <v>139550.52055645178</v>
      </c>
      <c r="CL6" s="390">
        <v>0.377</v>
      </c>
      <c r="CM6" s="391">
        <v>0.38</v>
      </c>
      <c r="CN6" s="391">
        <v>0.377</v>
      </c>
      <c r="CO6" s="391">
        <v>0.374</v>
      </c>
      <c r="CP6" s="391">
        <v>0.37</v>
      </c>
      <c r="CQ6" s="391">
        <v>0.36599999999999999</v>
      </c>
      <c r="CR6" s="391">
        <v>0.36199999999999999</v>
      </c>
      <c r="CS6" s="391">
        <v>0.35799999999999998</v>
      </c>
      <c r="CT6" s="391">
        <v>0.35499999999999998</v>
      </c>
      <c r="CU6" s="392">
        <v>0.35299999999999998</v>
      </c>
      <c r="CV6" s="390">
        <v>0.16600000000000001</v>
      </c>
      <c r="CW6" s="391">
        <v>0.17399999999999999</v>
      </c>
      <c r="CX6" s="391">
        <v>0.189</v>
      </c>
      <c r="CY6" s="391">
        <v>0.20499999999999999</v>
      </c>
      <c r="CZ6" s="391">
        <v>0.217</v>
      </c>
      <c r="DA6" s="391">
        <v>0.23200000000000001</v>
      </c>
      <c r="DB6" s="391">
        <v>0.245</v>
      </c>
      <c r="DC6" s="391">
        <v>0.25900000000000001</v>
      </c>
      <c r="DD6" s="391">
        <v>0.27200000000000002</v>
      </c>
      <c r="DE6" s="392">
        <v>0.28499999999999998</v>
      </c>
      <c r="DF6" s="401"/>
      <c r="DG6" s="401">
        <v>1581764.516599999</v>
      </c>
      <c r="DH6" s="401">
        <v>1626399.9589999993</v>
      </c>
      <c r="DI6" s="401">
        <v>1672593.9465999992</v>
      </c>
      <c r="DJ6" s="401">
        <v>1720361.1138000002</v>
      </c>
      <c r="DK6" s="401">
        <v>1769446.8670000003</v>
      </c>
      <c r="DL6" s="401">
        <v>1820634.5677000009</v>
      </c>
      <c r="DM6" s="401">
        <v>1873714.6229999983</v>
      </c>
      <c r="DN6" s="401">
        <v>1927934.9277000006</v>
      </c>
      <c r="DO6" s="401">
        <v>1982830.6072999998</v>
      </c>
      <c r="DP6" s="402"/>
      <c r="DQ6" s="402"/>
      <c r="DR6" s="402"/>
      <c r="DS6" s="402"/>
      <c r="DT6" s="402"/>
      <c r="DU6" s="402"/>
      <c r="DV6" s="402"/>
      <c r="DW6" s="402"/>
      <c r="DX6" s="402"/>
      <c r="DY6"/>
      <c r="DZ6"/>
      <c r="EA6"/>
      <c r="EB6"/>
      <c r="EC6"/>
      <c r="ED6"/>
      <c r="EE6"/>
      <c r="EF6"/>
      <c r="EG6"/>
      <c r="EH6" s="403">
        <f>(EI6/$BI6)*$BH6</f>
        <v>58017.818645470659</v>
      </c>
      <c r="EI6" s="404">
        <v>63731.828210756386</v>
      </c>
      <c r="EJ6" s="404">
        <v>72213.904697305872</v>
      </c>
      <c r="EK6" s="404">
        <v>81158.917342905435</v>
      </c>
      <c r="EL6" s="404">
        <v>89714.920211828547</v>
      </c>
      <c r="EM6" s="404">
        <v>99579.908266011538</v>
      </c>
      <c r="EN6" s="404">
        <v>108137.09423485136</v>
      </c>
      <c r="EO6" s="404">
        <v>119997.53761262732</v>
      </c>
      <c r="EP6" s="404">
        <v>130528.36539073457</v>
      </c>
      <c r="EQ6" s="405">
        <v>141591.62320696056</v>
      </c>
      <c r="ER6" s="404">
        <f>(ES6/$BI6)*$BH6</f>
        <v>20712.361256433025</v>
      </c>
      <c r="ES6" s="404">
        <v>22752.262671240031</v>
      </c>
      <c r="ET6" s="404">
        <v>25780.363976938195</v>
      </c>
      <c r="EU6" s="404">
        <v>28973.733491417242</v>
      </c>
      <c r="EV6" s="404">
        <v>32028.226515622791</v>
      </c>
      <c r="EW6" s="404">
        <v>35550.027250966108</v>
      </c>
      <c r="EX6" s="404">
        <v>38604.942641841932</v>
      </c>
      <c r="EY6" s="404">
        <v>42839.120927707954</v>
      </c>
      <c r="EZ6" s="404">
        <v>46598.626444492242</v>
      </c>
      <c r="FA6" s="404">
        <v>50548.20948488493</v>
      </c>
      <c r="FB6" s="403">
        <f>(FC6/$BI6)*$BH6</f>
        <v>159.37223861795241</v>
      </c>
      <c r="FC6" s="404">
        <v>175.06835607229371</v>
      </c>
      <c r="FD6" s="404">
        <v>198.36822410164135</v>
      </c>
      <c r="FE6" s="404">
        <v>222.93975614262385</v>
      </c>
      <c r="FF6" s="404">
        <v>246.44269649228403</v>
      </c>
      <c r="FG6" s="404">
        <v>273.54135802145618</v>
      </c>
      <c r="FH6" s="404">
        <v>297.04754829134151</v>
      </c>
      <c r="FI6" s="404">
        <v>329.62763241460408</v>
      </c>
      <c r="FJ6" s="404">
        <v>358.55532457333175</v>
      </c>
      <c r="FK6" s="405">
        <v>388.94557718440853</v>
      </c>
    </row>
    <row r="7" spans="1:167" s="406" customFormat="1" ht="15" customHeight="1" x14ac:dyDescent="0.35">
      <c r="A7" s="377" t="s">
        <v>65</v>
      </c>
      <c r="B7" s="378" t="s">
        <v>251</v>
      </c>
      <c r="C7" s="379" t="s">
        <v>9</v>
      </c>
      <c r="D7" s="380"/>
      <c r="E7" s="381" t="s">
        <v>257</v>
      </c>
      <c r="F7" s="382" t="s">
        <v>243</v>
      </c>
      <c r="G7" s="382">
        <v>2020</v>
      </c>
      <c r="H7" s="382" t="s">
        <v>249</v>
      </c>
      <c r="I7" s="383" t="s">
        <v>243</v>
      </c>
      <c r="J7" s="382">
        <v>2020</v>
      </c>
      <c r="K7" s="384" t="str">
        <f t="shared" si="0"/>
        <v>Ratio</v>
      </c>
      <c r="L7" s="385"/>
      <c r="M7" s="386" t="s">
        <v>64</v>
      </c>
      <c r="N7" s="387" t="s">
        <v>241</v>
      </c>
      <c r="O7" s="388" t="s">
        <v>242</v>
      </c>
      <c r="P7" s="388" t="s">
        <v>241</v>
      </c>
      <c r="Q7" s="389" t="s">
        <v>242</v>
      </c>
      <c r="R7" s="390">
        <v>0.16908428914793699</v>
      </c>
      <c r="S7" s="391">
        <v>0.182</v>
      </c>
      <c r="T7" s="391">
        <v>0.19700000000000001</v>
      </c>
      <c r="U7" s="391">
        <v>0.214</v>
      </c>
      <c r="V7" s="391">
        <v>0.23300000000000001</v>
      </c>
      <c r="W7" s="391">
        <v>0.254</v>
      </c>
      <c r="X7" s="391">
        <v>0.27800000000000002</v>
      </c>
      <c r="Y7" s="391">
        <v>0.29099999999999998</v>
      </c>
      <c r="Z7" s="391">
        <v>0.29599999999999999</v>
      </c>
      <c r="AA7" s="392">
        <v>0.30499999999999999</v>
      </c>
      <c r="AB7" s="393">
        <f>25.47/28.13</f>
        <v>0.90543903306078921</v>
      </c>
      <c r="AC7" s="394">
        <f t="shared" si="1"/>
        <v>0.90543903306078921</v>
      </c>
      <c r="AD7" s="394">
        <f t="shared" si="1"/>
        <v>0.90543903306078921</v>
      </c>
      <c r="AE7" s="394">
        <f t="shared" si="1"/>
        <v>0.90543903306078921</v>
      </c>
      <c r="AF7" s="394">
        <f t="shared" si="1"/>
        <v>0.90543903306078921</v>
      </c>
      <c r="AG7" s="394">
        <f t="shared" si="1"/>
        <v>0.90543903306078921</v>
      </c>
      <c r="AH7" s="394">
        <f t="shared" si="1"/>
        <v>0.90543903306078921</v>
      </c>
      <c r="AI7" s="394">
        <f t="shared" si="1"/>
        <v>0.90543903306078921</v>
      </c>
      <c r="AJ7" s="394">
        <f t="shared" si="1"/>
        <v>0.90543903306078921</v>
      </c>
      <c r="AK7" s="394">
        <f t="shared" si="1"/>
        <v>0.90543903306078921</v>
      </c>
      <c r="AL7" s="394">
        <f t="shared" si="1"/>
        <v>0.90543903306078921</v>
      </c>
      <c r="AM7" s="395" t="s">
        <v>63</v>
      </c>
      <c r="AN7" s="390">
        <f t="shared" si="2"/>
        <v>0.15309551527187898</v>
      </c>
      <c r="AO7" s="391">
        <f t="shared" si="3"/>
        <v>0.16478990401706364</v>
      </c>
      <c r="AP7" s="391">
        <f t="shared" si="4"/>
        <v>0.17837148951297549</v>
      </c>
      <c r="AQ7" s="391">
        <f t="shared" si="5"/>
        <v>0.19376395307500888</v>
      </c>
      <c r="AR7" s="391">
        <f t="shared" si="6"/>
        <v>0.21096729470316389</v>
      </c>
      <c r="AS7" s="391">
        <f t="shared" si="7"/>
        <v>0.22998151439744047</v>
      </c>
      <c r="AT7" s="391">
        <f t="shared" si="8"/>
        <v>0.2517120511908994</v>
      </c>
      <c r="AU7" s="391">
        <f t="shared" si="9"/>
        <v>0.26348275862068965</v>
      </c>
      <c r="AV7" s="391">
        <f t="shared" si="10"/>
        <v>0.26800995378599357</v>
      </c>
      <c r="AW7" s="392">
        <f t="shared" si="11"/>
        <v>0.27615890508354068</v>
      </c>
      <c r="AX7" s="396">
        <v>3687198</v>
      </c>
      <c r="AY7" s="397">
        <v>3802044.9999999995</v>
      </c>
      <c r="AZ7" s="397">
        <v>3922848.0000000005</v>
      </c>
      <c r="BA7" s="397">
        <v>4048316.0000000009</v>
      </c>
      <c r="BB7" s="397">
        <v>4177966.0000000014</v>
      </c>
      <c r="BC7" s="397">
        <v>4310151.0000000009</v>
      </c>
      <c r="BD7" s="397">
        <v>4446401.9999999991</v>
      </c>
      <c r="BE7" s="397">
        <v>4587791</v>
      </c>
      <c r="BF7" s="397">
        <v>4735853.9999999981</v>
      </c>
      <c r="BG7" s="397">
        <v>4891164.0000000009</v>
      </c>
      <c r="BH7" s="398">
        <f t="shared" si="12"/>
        <v>564493.47771944164</v>
      </c>
      <c r="BI7" s="399">
        <f t="shared" si="13"/>
        <v>626538.63061855664</v>
      </c>
      <c r="BJ7" s="399">
        <f t="shared" si="14"/>
        <v>699724.24089299701</v>
      </c>
      <c r="BK7" s="399">
        <f t="shared" si="15"/>
        <v>784417.7114568078</v>
      </c>
      <c r="BL7" s="399">
        <f t="shared" si="16"/>
        <v>881414.18438179907</v>
      </c>
      <c r="BM7" s="399">
        <f t="shared" si="17"/>
        <v>991255.05426164262</v>
      </c>
      <c r="BN7" s="399">
        <f t="shared" si="18"/>
        <v>1119212.9678393172</v>
      </c>
      <c r="BO7" s="399">
        <f t="shared" si="19"/>
        <v>1208803.8286551724</v>
      </c>
      <c r="BP7" s="399">
        <f t="shared" si="20"/>
        <v>1269256.0116772123</v>
      </c>
      <c r="BQ7" s="400">
        <f t="shared" si="21"/>
        <v>1350738.4948240314</v>
      </c>
      <c r="BR7" s="398">
        <v>0</v>
      </c>
      <c r="BS7" s="399">
        <f t="shared" ref="BS7:BS14" si="24">BI7-$BH7</f>
        <v>62045.152899114997</v>
      </c>
      <c r="BT7" s="399">
        <f t="shared" si="22"/>
        <v>135230.76317355537</v>
      </c>
      <c r="BU7" s="399">
        <f t="shared" si="22"/>
        <v>219924.23373736616</v>
      </c>
      <c r="BV7" s="399">
        <f t="shared" si="22"/>
        <v>316920.70666235744</v>
      </c>
      <c r="BW7" s="399">
        <f t="shared" si="22"/>
        <v>426761.57654220099</v>
      </c>
      <c r="BX7" s="399">
        <f t="shared" si="22"/>
        <v>554719.49011987553</v>
      </c>
      <c r="BY7" s="399">
        <f t="shared" si="22"/>
        <v>644310.35093573073</v>
      </c>
      <c r="BZ7" s="399">
        <f t="shared" si="22"/>
        <v>704762.53395777068</v>
      </c>
      <c r="CA7" s="399">
        <f t="shared" si="22"/>
        <v>786245.01710458973</v>
      </c>
      <c r="CB7" s="398">
        <v>0</v>
      </c>
      <c r="CC7" s="399">
        <v>0</v>
      </c>
      <c r="CD7" s="399">
        <v>0</v>
      </c>
      <c r="CE7" s="399">
        <v>0</v>
      </c>
      <c r="CF7" s="399">
        <v>0</v>
      </c>
      <c r="CG7" s="399">
        <f t="shared" ref="CG7:CG14" si="25">BM7-$BL7</f>
        <v>109840.86987984355</v>
      </c>
      <c r="CH7" s="399">
        <f t="shared" si="23"/>
        <v>237798.78345751809</v>
      </c>
      <c r="CI7" s="399">
        <f t="shared" si="23"/>
        <v>327389.6442733733</v>
      </c>
      <c r="CJ7" s="399">
        <f t="shared" si="23"/>
        <v>387841.82729541324</v>
      </c>
      <c r="CK7" s="400">
        <f t="shared" si="23"/>
        <v>469324.31044223229</v>
      </c>
      <c r="CL7" s="390">
        <v>0.27800000000000002</v>
      </c>
      <c r="CM7" s="391">
        <v>0.27700000000000002</v>
      </c>
      <c r="CN7" s="391">
        <v>0.27600000000000002</v>
      </c>
      <c r="CO7" s="391">
        <v>0.27400000000000002</v>
      </c>
      <c r="CP7" s="391">
        <v>0.27200000000000002</v>
      </c>
      <c r="CQ7" s="391">
        <v>0.26700000000000002</v>
      </c>
      <c r="CR7" s="391">
        <v>0.26</v>
      </c>
      <c r="CS7" s="391">
        <v>0.25600000000000001</v>
      </c>
      <c r="CT7" s="391">
        <v>0.255</v>
      </c>
      <c r="CU7" s="392">
        <v>0.251</v>
      </c>
      <c r="CV7" s="390">
        <v>0.378</v>
      </c>
      <c r="CW7" s="391">
        <v>0.39600000000000002</v>
      </c>
      <c r="CX7" s="391">
        <v>0.41699999999999998</v>
      </c>
      <c r="CY7" s="391">
        <v>0.438</v>
      </c>
      <c r="CZ7" s="391">
        <v>0.46200000000000002</v>
      </c>
      <c r="DA7" s="391">
        <v>0.48799999999999999</v>
      </c>
      <c r="DB7" s="391">
        <v>0.51600000000000001</v>
      </c>
      <c r="DC7" s="391">
        <v>0.53200000000000003</v>
      </c>
      <c r="DD7" s="391">
        <v>0.53800000000000003</v>
      </c>
      <c r="DE7" s="392">
        <v>0.54800000000000004</v>
      </c>
      <c r="DF7" s="401"/>
      <c r="DG7" s="401">
        <v>2921136.1707000015</v>
      </c>
      <c r="DH7" s="401">
        <v>3011670.7131000008</v>
      </c>
      <c r="DI7" s="401">
        <v>3105245.0550000002</v>
      </c>
      <c r="DJ7" s="401">
        <v>3201569.6039999989</v>
      </c>
      <c r="DK7" s="401">
        <v>3300367.1901999987</v>
      </c>
      <c r="DL7" s="401">
        <v>3401890.1422999995</v>
      </c>
      <c r="DM7" s="401">
        <v>3506821.7089999984</v>
      </c>
      <c r="DN7" s="401">
        <v>3614574.2716999962</v>
      </c>
      <c r="DO7" s="401">
        <v>3725061.4015999995</v>
      </c>
      <c r="DP7" s="402"/>
      <c r="DQ7" s="402"/>
      <c r="DR7" s="402"/>
      <c r="DS7" s="402"/>
      <c r="DT7" s="402"/>
      <c r="DU7" s="402"/>
      <c r="DV7" s="402"/>
      <c r="DW7" s="402"/>
      <c r="DX7" s="402"/>
      <c r="DY7"/>
      <c r="DZ7"/>
      <c r="EA7"/>
      <c r="EB7"/>
      <c r="EC7"/>
      <c r="ED7"/>
      <c r="EE7"/>
      <c r="EF7"/>
      <c r="EG7"/>
      <c r="EH7" s="403">
        <f t="shared" ref="EH7:EH14" si="26">(EI7/$BI7)*$BH7</f>
        <v>217036.87801171595</v>
      </c>
      <c r="EI7" s="404">
        <v>240892.04518811376</v>
      </c>
      <c r="EJ7" s="404">
        <v>269030.50381746422</v>
      </c>
      <c r="EK7" s="404">
        <v>301593.51324922685</v>
      </c>
      <c r="EL7" s="404">
        <v>338886.79030680691</v>
      </c>
      <c r="EM7" s="404">
        <v>381118.49079185806</v>
      </c>
      <c r="EN7" s="404">
        <v>430315.84590035089</v>
      </c>
      <c r="EO7" s="404">
        <v>464761.8076294596</v>
      </c>
      <c r="EP7" s="404">
        <v>488004.50854622264</v>
      </c>
      <c r="EQ7" s="405">
        <v>519332.9551144173</v>
      </c>
      <c r="ER7" s="404">
        <f t="shared" ref="ER7:ER14" si="27">(ES7/$BI7)*$BH7</f>
        <v>77482.165450182583</v>
      </c>
      <c r="ES7" s="404">
        <v>85998.460132156615</v>
      </c>
      <c r="ET7" s="404">
        <v>96043.889862834709</v>
      </c>
      <c r="EU7" s="404">
        <v>107668.88422997398</v>
      </c>
      <c r="EV7" s="404">
        <v>120982.58413953005</v>
      </c>
      <c r="EW7" s="404">
        <v>136059.30121269333</v>
      </c>
      <c r="EX7" s="404">
        <v>153622.75698642529</v>
      </c>
      <c r="EY7" s="404">
        <v>165919.96532371707</v>
      </c>
      <c r="EZ7" s="404">
        <v>174217.60955100146</v>
      </c>
      <c r="FA7" s="404">
        <v>185401.86497584693</v>
      </c>
      <c r="FB7" s="403">
        <f t="shared" ref="FB7:FB14" si="28">(FC7/$BI7)*$BH7</f>
        <v>513.42203031788802</v>
      </c>
      <c r="FC7" s="404">
        <v>569.85376891218198</v>
      </c>
      <c r="FD7" s="404">
        <v>636.41805370952034</v>
      </c>
      <c r="FE7" s="404">
        <v>713.44904756123617</v>
      </c>
      <c r="FF7" s="404">
        <v>801.66995360963904</v>
      </c>
      <c r="FG7" s="404">
        <v>901.57318482752203</v>
      </c>
      <c r="FH7" s="404">
        <v>1017.9543555182884</v>
      </c>
      <c r="FI7" s="404">
        <v>1099.4396577822499</v>
      </c>
      <c r="FJ7" s="404">
        <v>1154.4225473449708</v>
      </c>
      <c r="FK7" s="405">
        <v>1228.533061609186</v>
      </c>
    </row>
    <row r="8" spans="1:167" s="406" customFormat="1" ht="15" customHeight="1" x14ac:dyDescent="0.35">
      <c r="A8" s="377" t="s">
        <v>252</v>
      </c>
      <c r="B8" s="378" t="s">
        <v>251</v>
      </c>
      <c r="C8" s="379" t="s">
        <v>10</v>
      </c>
      <c r="D8" s="380"/>
      <c r="E8" s="381" t="s">
        <v>246</v>
      </c>
      <c r="F8" s="382" t="s">
        <v>244</v>
      </c>
      <c r="G8" s="382">
        <v>2018</v>
      </c>
      <c r="H8" s="382" t="s">
        <v>8</v>
      </c>
      <c r="I8" s="383" t="s">
        <v>16</v>
      </c>
      <c r="J8" s="382">
        <v>2018</v>
      </c>
      <c r="K8" s="384" t="str">
        <f t="shared" si="0"/>
        <v>Ratio</v>
      </c>
      <c r="L8" s="385"/>
      <c r="M8" s="386" t="s">
        <v>64</v>
      </c>
      <c r="N8" s="387" t="s">
        <v>242</v>
      </c>
      <c r="O8" s="388" t="s">
        <v>241</v>
      </c>
      <c r="P8" s="388" t="s">
        <v>242</v>
      </c>
      <c r="Q8" s="389" t="s">
        <v>242</v>
      </c>
      <c r="R8" s="390">
        <v>0.122</v>
      </c>
      <c r="S8" s="391">
        <v>0.127</v>
      </c>
      <c r="T8" s="391">
        <v>0.13400000000000001</v>
      </c>
      <c r="U8" s="391">
        <v>0.13700000000000001</v>
      </c>
      <c r="V8" s="391">
        <v>0.14699999999999999</v>
      </c>
      <c r="W8" s="391">
        <v>0.16200000000000001</v>
      </c>
      <c r="X8" s="391">
        <v>0.17899999999999999</v>
      </c>
      <c r="Y8" s="391">
        <v>0.191</v>
      </c>
      <c r="Z8" s="391">
        <v>0.20100000000000001</v>
      </c>
      <c r="AA8" s="392">
        <v>0.21099999999999999</v>
      </c>
      <c r="AB8" s="410">
        <f>20.9/19.6</f>
        <v>1.0663265306122447</v>
      </c>
      <c r="AC8" s="394">
        <f t="shared" si="1"/>
        <v>1.0663265306122447</v>
      </c>
      <c r="AD8" s="394">
        <f t="shared" si="1"/>
        <v>1.0663265306122447</v>
      </c>
      <c r="AE8" s="394">
        <f t="shared" si="1"/>
        <v>1.0663265306122447</v>
      </c>
      <c r="AF8" s="394">
        <f t="shared" si="1"/>
        <v>1.0663265306122447</v>
      </c>
      <c r="AG8" s="394">
        <f t="shared" si="1"/>
        <v>1.0663265306122447</v>
      </c>
      <c r="AH8" s="394">
        <f t="shared" si="1"/>
        <v>1.0663265306122447</v>
      </c>
      <c r="AI8" s="394">
        <f t="shared" si="1"/>
        <v>1.0663265306122447</v>
      </c>
      <c r="AJ8" s="394">
        <f t="shared" si="1"/>
        <v>1.0663265306122447</v>
      </c>
      <c r="AK8" s="394">
        <f t="shared" si="1"/>
        <v>1.0663265306122447</v>
      </c>
      <c r="AL8" s="394">
        <f t="shared" si="1"/>
        <v>1.0663265306122447</v>
      </c>
      <c r="AM8" s="395" t="s">
        <v>63</v>
      </c>
      <c r="AN8" s="390">
        <f t="shared" si="2"/>
        <v>0.13009183673469385</v>
      </c>
      <c r="AO8" s="391">
        <f t="shared" si="3"/>
        <v>0.13542346938775507</v>
      </c>
      <c r="AP8" s="391">
        <f t="shared" si="4"/>
        <v>0.1428877551020408</v>
      </c>
      <c r="AQ8" s="391">
        <f t="shared" si="5"/>
        <v>0.14608673469387753</v>
      </c>
      <c r="AR8" s="391">
        <f t="shared" si="6"/>
        <v>0.15674999999999997</v>
      </c>
      <c r="AS8" s="391">
        <f t="shared" si="7"/>
        <v>0.17274489795918366</v>
      </c>
      <c r="AT8" s="391">
        <f t="shared" si="8"/>
        <v>0.1908724489795918</v>
      </c>
      <c r="AU8" s="391">
        <f t="shared" si="9"/>
        <v>0.20366836734693874</v>
      </c>
      <c r="AV8" s="391">
        <f t="shared" si="10"/>
        <v>0.21433163265306118</v>
      </c>
      <c r="AW8" s="392">
        <f t="shared" si="11"/>
        <v>0.22499489795918362</v>
      </c>
      <c r="AX8" s="396">
        <v>4858181.0000000009</v>
      </c>
      <c r="AY8" s="397">
        <v>5008724.9999999972</v>
      </c>
      <c r="AZ8" s="397">
        <v>5166071</v>
      </c>
      <c r="BA8" s="397">
        <v>5330865</v>
      </c>
      <c r="BB8" s="397">
        <v>5502908</v>
      </c>
      <c r="BC8" s="397">
        <v>5673930.9999999991</v>
      </c>
      <c r="BD8" s="397">
        <v>5853431.0000000009</v>
      </c>
      <c r="BE8" s="397">
        <v>6039064.9999999991</v>
      </c>
      <c r="BF8" s="397">
        <v>6227653</v>
      </c>
      <c r="BG8" s="397">
        <v>6417561.0000000019</v>
      </c>
      <c r="BH8" s="398">
        <f t="shared" si="12"/>
        <v>632009.68947959179</v>
      </c>
      <c r="BI8" s="399">
        <f t="shared" si="13"/>
        <v>678298.91670918313</v>
      </c>
      <c r="BJ8" s="399">
        <f t="shared" si="14"/>
        <v>738168.28788775497</v>
      </c>
      <c r="BK8" s="399">
        <f t="shared" si="15"/>
        <v>778768.66094387742</v>
      </c>
      <c r="BL8" s="399">
        <f t="shared" si="16"/>
        <v>862580.82899999979</v>
      </c>
      <c r="BM8" s="399">
        <f t="shared" si="17"/>
        <v>980142.63162244868</v>
      </c>
      <c r="BN8" s="399">
        <f t="shared" si="18"/>
        <v>1117258.7099030612</v>
      </c>
      <c r="BO8" s="399">
        <f t="shared" si="19"/>
        <v>1229966.5088520404</v>
      </c>
      <c r="BP8" s="399">
        <f t="shared" si="20"/>
        <v>1334783.0350867345</v>
      </c>
      <c r="BQ8" s="400">
        <f t="shared" si="21"/>
        <v>1443918.4823418369</v>
      </c>
      <c r="BR8" s="398">
        <v>0</v>
      </c>
      <c r="BS8" s="399">
        <f t="shared" si="24"/>
        <v>46289.227229591343</v>
      </c>
      <c r="BT8" s="399">
        <f t="shared" si="22"/>
        <v>106158.59840816318</v>
      </c>
      <c r="BU8" s="399">
        <f t="shared" si="22"/>
        <v>146758.97146428563</v>
      </c>
      <c r="BV8" s="399">
        <f t="shared" si="22"/>
        <v>230571.139520408</v>
      </c>
      <c r="BW8" s="399">
        <f t="shared" si="22"/>
        <v>348132.94214285689</v>
      </c>
      <c r="BX8" s="399">
        <f t="shared" si="22"/>
        <v>485249.02042346937</v>
      </c>
      <c r="BY8" s="399">
        <f t="shared" si="22"/>
        <v>597956.8193724486</v>
      </c>
      <c r="BZ8" s="399">
        <f t="shared" si="22"/>
        <v>702773.34560714266</v>
      </c>
      <c r="CA8" s="399">
        <f t="shared" si="22"/>
        <v>811908.79286224511</v>
      </c>
      <c r="CB8" s="398">
        <v>0</v>
      </c>
      <c r="CC8" s="399">
        <v>0</v>
      </c>
      <c r="CD8" s="399">
        <v>0</v>
      </c>
      <c r="CE8" s="399">
        <v>0</v>
      </c>
      <c r="CF8" s="399">
        <v>0</v>
      </c>
      <c r="CG8" s="399">
        <f t="shared" si="25"/>
        <v>117561.80262244889</v>
      </c>
      <c r="CH8" s="399">
        <f t="shared" si="23"/>
        <v>254677.88090306136</v>
      </c>
      <c r="CI8" s="399">
        <f t="shared" si="23"/>
        <v>367385.6798520406</v>
      </c>
      <c r="CJ8" s="399">
        <f t="shared" si="23"/>
        <v>472202.20608673466</v>
      </c>
      <c r="CK8" s="400">
        <f t="shared" si="23"/>
        <v>581337.65334183711</v>
      </c>
      <c r="CL8" s="390">
        <v>0.32600000000000001</v>
      </c>
      <c r="CM8" s="391">
        <v>0.32200000000000001</v>
      </c>
      <c r="CN8" s="391">
        <v>0.318</v>
      </c>
      <c r="CO8" s="391">
        <v>0.317</v>
      </c>
      <c r="CP8" s="391">
        <v>0.313</v>
      </c>
      <c r="CQ8" s="391">
        <v>0.31</v>
      </c>
      <c r="CR8" s="391">
        <v>0.307</v>
      </c>
      <c r="CS8" s="391">
        <v>0.30499999999999999</v>
      </c>
      <c r="CT8" s="391">
        <v>0.30199999999999999</v>
      </c>
      <c r="CU8" s="392">
        <v>0.29899999999999999</v>
      </c>
      <c r="CV8" s="390">
        <v>0.27300000000000002</v>
      </c>
      <c r="CW8" s="391">
        <v>0.28199999999999997</v>
      </c>
      <c r="CX8" s="391">
        <v>0.29699999999999999</v>
      </c>
      <c r="CY8" s="391">
        <v>0.30199999999999999</v>
      </c>
      <c r="CZ8" s="391">
        <v>0.32</v>
      </c>
      <c r="DA8" s="391">
        <v>0.34300000000000003</v>
      </c>
      <c r="DB8" s="391">
        <v>0.36799999999999999</v>
      </c>
      <c r="DC8" s="391">
        <v>0.38500000000000001</v>
      </c>
      <c r="DD8" s="391">
        <v>0.4</v>
      </c>
      <c r="DE8" s="392">
        <v>0.41299999999999998</v>
      </c>
      <c r="DF8" s="401"/>
      <c r="DG8" s="401">
        <v>2945283.6847999976</v>
      </c>
      <c r="DH8" s="401">
        <v>3027049.7837999999</v>
      </c>
      <c r="DI8" s="401">
        <v>3113116.5135000008</v>
      </c>
      <c r="DJ8" s="401">
        <v>3202914.731699999</v>
      </c>
      <c r="DK8" s="401">
        <v>3292633.7071000012</v>
      </c>
      <c r="DL8" s="401">
        <v>3386632.1512999977</v>
      </c>
      <c r="DM8" s="401">
        <v>3483635.9278999986</v>
      </c>
      <c r="DN8" s="401">
        <v>3582029.2655000011</v>
      </c>
      <c r="DO8" s="401">
        <v>3680980.9762000036</v>
      </c>
      <c r="DP8" s="402"/>
      <c r="DQ8" s="402"/>
      <c r="DR8" s="402"/>
      <c r="DS8" s="402"/>
      <c r="DT8" s="402"/>
      <c r="DU8" s="402"/>
      <c r="DV8" s="402"/>
      <c r="DW8" s="402"/>
      <c r="DX8" s="402"/>
      <c r="DY8"/>
      <c r="DZ8"/>
      <c r="EA8"/>
      <c r="EB8"/>
      <c r="EC8"/>
      <c r="ED8"/>
      <c r="EE8"/>
      <c r="EF8"/>
      <c r="EG8"/>
      <c r="EH8" s="403">
        <f t="shared" si="26"/>
        <v>224422.5827484919</v>
      </c>
      <c r="EI8" s="404">
        <v>240859.59012546844</v>
      </c>
      <c r="EJ8" s="404">
        <v>262118.81942381462</v>
      </c>
      <c r="EK8" s="404">
        <v>276535.75121058832</v>
      </c>
      <c r="EL8" s="404">
        <v>306296.91394907987</v>
      </c>
      <c r="EM8" s="404">
        <v>348042.35522360058</v>
      </c>
      <c r="EN8" s="404">
        <v>396731.39423092594</v>
      </c>
      <c r="EO8" s="404">
        <v>436753.20996741456</v>
      </c>
      <c r="EP8" s="404">
        <v>473972.88543106866</v>
      </c>
      <c r="EQ8" s="405">
        <v>512726.18201829249</v>
      </c>
      <c r="ER8" s="404">
        <f t="shared" si="27"/>
        <v>80118.862041211614</v>
      </c>
      <c r="ES8" s="404">
        <v>85986.873674792238</v>
      </c>
      <c r="ET8" s="404">
        <v>93576.418534301803</v>
      </c>
      <c r="EU8" s="404">
        <v>98723.263182180002</v>
      </c>
      <c r="EV8" s="404">
        <v>109347.99827982149</v>
      </c>
      <c r="EW8" s="404">
        <v>124251.12081482541</v>
      </c>
      <c r="EX8" s="404">
        <v>141633.10774044055</v>
      </c>
      <c r="EY8" s="404">
        <v>155920.89595836701</v>
      </c>
      <c r="EZ8" s="404">
        <v>169208.32009889151</v>
      </c>
      <c r="FA8" s="404">
        <v>183043.24698053038</v>
      </c>
      <c r="FB8" s="403">
        <f t="shared" si="28"/>
        <v>953.62295601530411</v>
      </c>
      <c r="FC8" s="404">
        <v>1023.4675651045962</v>
      </c>
      <c r="FD8" s="404">
        <v>1113.8028996231196</v>
      </c>
      <c r="FE8" s="404">
        <v>1175.063744850009</v>
      </c>
      <c r="FF8" s="404">
        <v>1301.5257418449328</v>
      </c>
      <c r="FG8" s="404">
        <v>1478.9116832276047</v>
      </c>
      <c r="FH8" s="404">
        <v>1685.8025617438045</v>
      </c>
      <c r="FI8" s="404">
        <v>1855.8644234348897</v>
      </c>
      <c r="FJ8" s="404">
        <v>2014.0193493023867</v>
      </c>
      <c r="FK8" s="405">
        <v>2178.6909825856665</v>
      </c>
    </row>
    <row r="9" spans="1:167" s="406" customFormat="1" ht="15" customHeight="1" x14ac:dyDescent="0.35">
      <c r="A9" s="377" t="s">
        <v>250</v>
      </c>
      <c r="B9" s="378" t="s">
        <v>251</v>
      </c>
      <c r="C9" s="379" t="s">
        <v>11</v>
      </c>
      <c r="D9" s="380"/>
      <c r="E9" s="381" t="s">
        <v>257</v>
      </c>
      <c r="F9" s="382" t="s">
        <v>18</v>
      </c>
      <c r="G9" s="382">
        <v>2018</v>
      </c>
      <c r="H9" s="382" t="s">
        <v>8</v>
      </c>
      <c r="I9" s="383" t="s">
        <v>69</v>
      </c>
      <c r="J9" s="382">
        <v>2018</v>
      </c>
      <c r="K9" s="384" t="str">
        <f t="shared" si="0"/>
        <v>Ratio</v>
      </c>
      <c r="L9" s="385"/>
      <c r="M9" s="386" t="s">
        <v>64</v>
      </c>
      <c r="N9" s="387" t="s">
        <v>242</v>
      </c>
      <c r="O9" s="388" t="s">
        <v>241</v>
      </c>
      <c r="P9" s="388" t="s">
        <v>241</v>
      </c>
      <c r="Q9" s="389" t="s">
        <v>242</v>
      </c>
      <c r="R9" s="390">
        <v>0.05</v>
      </c>
      <c r="S9" s="391">
        <v>5.1999999999999998E-2</v>
      </c>
      <c r="T9" s="391">
        <v>5.7000000000000002E-2</v>
      </c>
      <c r="U9" s="391">
        <v>6.4000000000000001E-2</v>
      </c>
      <c r="V9" s="391">
        <v>7.1999999999999995E-2</v>
      </c>
      <c r="W9" s="391">
        <v>8.2000000000000003E-2</v>
      </c>
      <c r="X9" s="391">
        <v>9.2999999999999999E-2</v>
      </c>
      <c r="Y9" s="391">
        <v>0.104</v>
      </c>
      <c r="Z9" s="391">
        <v>0.113</v>
      </c>
      <c r="AA9" s="392">
        <v>0.121</v>
      </c>
      <c r="AB9" s="410">
        <f>11.4/10.6</f>
        <v>1.0754716981132075</v>
      </c>
      <c r="AC9" s="394">
        <f t="shared" si="1"/>
        <v>1.0754716981132075</v>
      </c>
      <c r="AD9" s="394">
        <f t="shared" si="1"/>
        <v>1.0754716981132075</v>
      </c>
      <c r="AE9" s="394">
        <f t="shared" si="1"/>
        <v>1.0754716981132075</v>
      </c>
      <c r="AF9" s="394">
        <f t="shared" si="1"/>
        <v>1.0754716981132075</v>
      </c>
      <c r="AG9" s="394">
        <f t="shared" si="1"/>
        <v>1.0754716981132075</v>
      </c>
      <c r="AH9" s="394">
        <f t="shared" si="1"/>
        <v>1.0754716981132075</v>
      </c>
      <c r="AI9" s="394">
        <f t="shared" si="1"/>
        <v>1.0754716981132075</v>
      </c>
      <c r="AJ9" s="394">
        <f t="shared" si="1"/>
        <v>1.0754716981132075</v>
      </c>
      <c r="AK9" s="394">
        <f t="shared" si="1"/>
        <v>1.0754716981132075</v>
      </c>
      <c r="AL9" s="394">
        <f t="shared" si="1"/>
        <v>1.0754716981132075</v>
      </c>
      <c r="AM9" s="395" t="s">
        <v>63</v>
      </c>
      <c r="AN9" s="390">
        <f t="shared" si="2"/>
        <v>5.3773584905660379E-2</v>
      </c>
      <c r="AO9" s="391">
        <f t="shared" si="3"/>
        <v>5.5924528301886788E-2</v>
      </c>
      <c r="AP9" s="391">
        <f t="shared" si="4"/>
        <v>6.1301886792452832E-2</v>
      </c>
      <c r="AQ9" s="391">
        <f t="shared" si="5"/>
        <v>6.8830188679245285E-2</v>
      </c>
      <c r="AR9" s="391">
        <f t="shared" si="6"/>
        <v>7.7433962264150932E-2</v>
      </c>
      <c r="AS9" s="391">
        <f t="shared" si="7"/>
        <v>8.8188679245283022E-2</v>
      </c>
      <c r="AT9" s="391">
        <f t="shared" si="8"/>
        <v>0.1000188679245283</v>
      </c>
      <c r="AU9" s="391">
        <f t="shared" si="9"/>
        <v>0.11184905660377358</v>
      </c>
      <c r="AV9" s="391">
        <f t="shared" si="10"/>
        <v>0.12152830188679245</v>
      </c>
      <c r="AW9" s="392">
        <f t="shared" si="11"/>
        <v>0.13013207547169811</v>
      </c>
      <c r="AX9" s="396">
        <v>2464867.0000000005</v>
      </c>
      <c r="AY9" s="397">
        <v>2526689.9999999986</v>
      </c>
      <c r="AZ9" s="397">
        <v>2591761</v>
      </c>
      <c r="BA9" s="397">
        <v>2661427.9999999991</v>
      </c>
      <c r="BB9" s="397">
        <v>2736538.9999999995</v>
      </c>
      <c r="BC9" s="397">
        <v>2823910</v>
      </c>
      <c r="BD9" s="397">
        <v>2917348</v>
      </c>
      <c r="BE9" s="397">
        <v>3015709.9999999995</v>
      </c>
      <c r="BF9" s="397">
        <v>3117489</v>
      </c>
      <c r="BG9" s="397">
        <v>3221435</v>
      </c>
      <c r="BH9" s="398">
        <f t="shared" si="12"/>
        <v>132544.73490566041</v>
      </c>
      <c r="BI9" s="399">
        <f t="shared" si="13"/>
        <v>141303.94641509425</v>
      </c>
      <c r="BJ9" s="399">
        <f t="shared" si="14"/>
        <v>158879.83941509435</v>
      </c>
      <c r="BK9" s="399">
        <f t="shared" si="15"/>
        <v>183186.59139622634</v>
      </c>
      <c r="BL9" s="399">
        <f t="shared" si="16"/>
        <v>211901.05766037729</v>
      </c>
      <c r="BM9" s="399">
        <f t="shared" si="17"/>
        <v>249036.89320754717</v>
      </c>
      <c r="BN9" s="399">
        <f t="shared" si="18"/>
        <v>291789.8443018868</v>
      </c>
      <c r="BO9" s="399">
        <f t="shared" si="19"/>
        <v>337304.31849056593</v>
      </c>
      <c r="BP9" s="399">
        <f t="shared" si="20"/>
        <v>378863.14432075468</v>
      </c>
      <c r="BQ9" s="400">
        <f t="shared" si="21"/>
        <v>419212.02254716982</v>
      </c>
      <c r="BR9" s="398">
        <v>0</v>
      </c>
      <c r="BS9" s="399">
        <f t="shared" si="24"/>
        <v>8759.2115094338369</v>
      </c>
      <c r="BT9" s="399">
        <f t="shared" si="22"/>
        <v>26335.104509433935</v>
      </c>
      <c r="BU9" s="399">
        <f t="shared" si="22"/>
        <v>50641.85649056593</v>
      </c>
      <c r="BV9" s="399">
        <f t="shared" si="22"/>
        <v>79356.322754716879</v>
      </c>
      <c r="BW9" s="399">
        <f t="shared" si="22"/>
        <v>116492.15830188675</v>
      </c>
      <c r="BX9" s="399">
        <f t="shared" si="22"/>
        <v>159245.10939622638</v>
      </c>
      <c r="BY9" s="399">
        <f t="shared" si="22"/>
        <v>204759.58358490551</v>
      </c>
      <c r="BZ9" s="399">
        <f t="shared" si="22"/>
        <v>246318.40941509427</v>
      </c>
      <c r="CA9" s="399">
        <f t="shared" si="22"/>
        <v>286667.28764150944</v>
      </c>
      <c r="CB9" s="398">
        <v>0</v>
      </c>
      <c r="CC9" s="399">
        <v>0</v>
      </c>
      <c r="CD9" s="399">
        <v>0</v>
      </c>
      <c r="CE9" s="399">
        <v>0</v>
      </c>
      <c r="CF9" s="399">
        <v>0</v>
      </c>
      <c r="CG9" s="399">
        <f t="shared" si="25"/>
        <v>37135.835547169874</v>
      </c>
      <c r="CH9" s="399">
        <f t="shared" si="23"/>
        <v>79888.786641509505</v>
      </c>
      <c r="CI9" s="399">
        <f t="shared" si="23"/>
        <v>125403.26083018864</v>
      </c>
      <c r="CJ9" s="399">
        <f t="shared" si="23"/>
        <v>166962.08666037739</v>
      </c>
      <c r="CK9" s="400">
        <f t="shared" si="23"/>
        <v>207310.96488679253</v>
      </c>
      <c r="CL9" s="390">
        <v>0.24399999999999999</v>
      </c>
      <c r="CM9" s="391">
        <v>0.24399999999999999</v>
      </c>
      <c r="CN9" s="391">
        <v>0.24199999999999999</v>
      </c>
      <c r="CO9" s="391">
        <v>0.24</v>
      </c>
      <c r="CP9" s="391">
        <v>0.23799999999999999</v>
      </c>
      <c r="CQ9" s="391">
        <v>0.23599999999999999</v>
      </c>
      <c r="CR9" s="391">
        <v>0.23200000000000001</v>
      </c>
      <c r="CS9" s="391">
        <v>0.22800000000000001</v>
      </c>
      <c r="CT9" s="391">
        <v>0.22900000000000001</v>
      </c>
      <c r="CU9" s="392">
        <v>0.23100000000000001</v>
      </c>
      <c r="CV9" s="390">
        <v>0.17199999999999999</v>
      </c>
      <c r="CW9" s="391">
        <v>0.17499999999999999</v>
      </c>
      <c r="CX9" s="391">
        <v>0.19</v>
      </c>
      <c r="CY9" s="391">
        <v>0.21</v>
      </c>
      <c r="CZ9" s="391">
        <v>0.23200000000000001</v>
      </c>
      <c r="DA9" s="391">
        <v>0.25800000000000001</v>
      </c>
      <c r="DB9" s="391">
        <v>0.28499999999999998</v>
      </c>
      <c r="DC9" s="391">
        <v>0.314</v>
      </c>
      <c r="DD9" s="391">
        <v>0.33200000000000002</v>
      </c>
      <c r="DE9" s="392">
        <v>0.34399999999999997</v>
      </c>
      <c r="DF9" s="401"/>
      <c r="DG9" s="401">
        <v>1819543.7059999981</v>
      </c>
      <c r="DH9" s="401">
        <v>1849480.1285999999</v>
      </c>
      <c r="DI9" s="401">
        <v>1881194.8464999993</v>
      </c>
      <c r="DJ9" s="401">
        <v>1915313.2766999986</v>
      </c>
      <c r="DK9" s="401">
        <v>1957383.3441999999</v>
      </c>
      <c r="DL9" s="401">
        <v>2002804.0885999994</v>
      </c>
      <c r="DM9" s="401">
        <v>2050690.5439999984</v>
      </c>
      <c r="DN9" s="401">
        <v>2099980.1334000002</v>
      </c>
      <c r="DO9" s="401">
        <v>2149846.0270000002</v>
      </c>
      <c r="DP9" s="402"/>
      <c r="DQ9" s="402"/>
      <c r="DR9" s="402"/>
      <c r="DS9" s="402"/>
      <c r="DT9" s="402"/>
      <c r="DU9" s="402"/>
      <c r="DV9" s="402"/>
      <c r="DW9" s="402"/>
      <c r="DX9" s="402"/>
      <c r="DY9"/>
      <c r="DZ9"/>
      <c r="EA9"/>
      <c r="EB9"/>
      <c r="EC9"/>
      <c r="ED9"/>
      <c r="EE9"/>
      <c r="EF9"/>
      <c r="EG9"/>
      <c r="EH9" s="403">
        <f t="shared" si="26"/>
        <v>42259.098309198111</v>
      </c>
      <c r="EI9" s="404">
        <v>45051.788494528257</v>
      </c>
      <c r="EJ9" s="404">
        <v>50655.491958778293</v>
      </c>
      <c r="EK9" s="404">
        <v>58405.188106867899</v>
      </c>
      <c r="EL9" s="404">
        <v>67560.191160113172</v>
      </c>
      <c r="EM9" s="404">
        <v>79400.170517264138</v>
      </c>
      <c r="EN9" s="404">
        <v>93031.048911566031</v>
      </c>
      <c r="EO9" s="404">
        <v>107542.38080716977</v>
      </c>
      <c r="EP9" s="404">
        <v>120792.53750047639</v>
      </c>
      <c r="EQ9" s="405">
        <v>133656.92787290091</v>
      </c>
      <c r="ER9" s="404">
        <f t="shared" si="27"/>
        <v>15086.498096383726</v>
      </c>
      <c r="ES9" s="404">
        <v>16083.488492546589</v>
      </c>
      <c r="ET9" s="404">
        <v>18084.010629283854</v>
      </c>
      <c r="EU9" s="404">
        <v>20850.652154151838</v>
      </c>
      <c r="EV9" s="404">
        <v>24118.988244160399</v>
      </c>
      <c r="EW9" s="404">
        <v>28345.860874663293</v>
      </c>
      <c r="EX9" s="404">
        <v>33212.084461429069</v>
      </c>
      <c r="EY9" s="404">
        <v>38392.629948159607</v>
      </c>
      <c r="EZ9" s="404">
        <v>43122.935887670072</v>
      </c>
      <c r="FA9" s="404">
        <v>47715.523250625622</v>
      </c>
      <c r="FB9" s="403">
        <f t="shared" si="28"/>
        <v>175.15086524913193</v>
      </c>
      <c r="FC9" s="404">
        <v>186.72570053677617</v>
      </c>
      <c r="FD9" s="404">
        <v>209.95131465616967</v>
      </c>
      <c r="FE9" s="404">
        <v>242.0714033486517</v>
      </c>
      <c r="FF9" s="404">
        <v>280.01605362022019</v>
      </c>
      <c r="FG9" s="404">
        <v>329.08909852438632</v>
      </c>
      <c r="FH9" s="404">
        <v>385.58486488928338</v>
      </c>
      <c r="FI9" s="404">
        <v>445.7298381406199</v>
      </c>
      <c r="FJ9" s="404">
        <v>500.64763105088872</v>
      </c>
      <c r="FK9" s="405">
        <v>553.96654212056308</v>
      </c>
    </row>
    <row r="10" spans="1:167" s="406" customFormat="1" ht="15" customHeight="1" x14ac:dyDescent="0.35">
      <c r="A10" s="377" t="s">
        <v>250</v>
      </c>
      <c r="B10" s="378" t="s">
        <v>251</v>
      </c>
      <c r="C10" s="379" t="s">
        <v>13</v>
      </c>
      <c r="D10" s="380"/>
      <c r="E10" s="381" t="s">
        <v>257</v>
      </c>
      <c r="F10" s="382" t="s">
        <v>18</v>
      </c>
      <c r="G10" s="382">
        <v>2018</v>
      </c>
      <c r="H10" s="382" t="s">
        <v>8</v>
      </c>
      <c r="I10" s="383" t="s">
        <v>69</v>
      </c>
      <c r="J10" s="382">
        <v>2018</v>
      </c>
      <c r="K10" s="384" t="str">
        <f t="shared" si="0"/>
        <v>Ratio</v>
      </c>
      <c r="L10" s="385"/>
      <c r="M10" s="386" t="s">
        <v>64</v>
      </c>
      <c r="N10" s="387" t="s">
        <v>242</v>
      </c>
      <c r="O10" s="388" t="s">
        <v>241</v>
      </c>
      <c r="P10" s="388" t="s">
        <v>241</v>
      </c>
      <c r="Q10" s="389" t="s">
        <v>242</v>
      </c>
      <c r="R10" s="390">
        <v>9.5000000000000001E-2</v>
      </c>
      <c r="S10" s="391">
        <v>0.10199999999999999</v>
      </c>
      <c r="T10" s="391">
        <v>0.113</v>
      </c>
      <c r="U10" s="391">
        <v>0.124</v>
      </c>
      <c r="V10" s="391">
        <v>0.13600000000000001</v>
      </c>
      <c r="W10" s="391">
        <v>0.14399999999999999</v>
      </c>
      <c r="X10" s="391">
        <v>0.151</v>
      </c>
      <c r="Y10" s="391">
        <v>0.16</v>
      </c>
      <c r="Z10" s="391">
        <v>0.16700000000000001</v>
      </c>
      <c r="AA10" s="392">
        <v>0.17399999999999999</v>
      </c>
      <c r="AB10" s="410">
        <f>15.4/16.4</f>
        <v>0.9390243902439025</v>
      </c>
      <c r="AC10" s="394">
        <f t="shared" si="1"/>
        <v>0.9390243902439025</v>
      </c>
      <c r="AD10" s="394">
        <f t="shared" si="1"/>
        <v>0.9390243902439025</v>
      </c>
      <c r="AE10" s="394">
        <f t="shared" si="1"/>
        <v>0.9390243902439025</v>
      </c>
      <c r="AF10" s="394">
        <f t="shared" si="1"/>
        <v>0.9390243902439025</v>
      </c>
      <c r="AG10" s="394">
        <f t="shared" si="1"/>
        <v>0.9390243902439025</v>
      </c>
      <c r="AH10" s="394">
        <f t="shared" si="1"/>
        <v>0.9390243902439025</v>
      </c>
      <c r="AI10" s="394">
        <f t="shared" si="1"/>
        <v>0.9390243902439025</v>
      </c>
      <c r="AJ10" s="394">
        <f t="shared" si="1"/>
        <v>0.9390243902439025</v>
      </c>
      <c r="AK10" s="394">
        <f t="shared" si="1"/>
        <v>0.9390243902439025</v>
      </c>
      <c r="AL10" s="394">
        <f t="shared" si="1"/>
        <v>0.9390243902439025</v>
      </c>
      <c r="AM10" s="395" t="s">
        <v>63</v>
      </c>
      <c r="AN10" s="390">
        <f t="shared" si="2"/>
        <v>8.9207317073170742E-2</v>
      </c>
      <c r="AO10" s="391">
        <f t="shared" si="3"/>
        <v>9.5780487804878051E-2</v>
      </c>
      <c r="AP10" s="391">
        <f t="shared" si="4"/>
        <v>0.10610975609756099</v>
      </c>
      <c r="AQ10" s="391">
        <f t="shared" si="5"/>
        <v>0.11643902439024391</v>
      </c>
      <c r="AR10" s="391">
        <f t="shared" si="6"/>
        <v>0.12770731707317076</v>
      </c>
      <c r="AS10" s="391">
        <f t="shared" si="7"/>
        <v>0.13521951219512196</v>
      </c>
      <c r="AT10" s="391">
        <f t="shared" si="8"/>
        <v>0.14179268292682928</v>
      </c>
      <c r="AU10" s="391">
        <f t="shared" si="9"/>
        <v>0.15024390243902441</v>
      </c>
      <c r="AV10" s="391">
        <f t="shared" si="10"/>
        <v>0.15681707317073174</v>
      </c>
      <c r="AW10" s="392">
        <f t="shared" si="11"/>
        <v>0.16339024390243903</v>
      </c>
      <c r="AX10" s="396">
        <v>3415353.0000000005</v>
      </c>
      <c r="AY10" s="397">
        <v>3512551</v>
      </c>
      <c r="AZ10" s="397">
        <v>3615294</v>
      </c>
      <c r="BA10" s="397">
        <v>3724421.0000000005</v>
      </c>
      <c r="BB10" s="397">
        <v>3840865.9999999995</v>
      </c>
      <c r="BC10" s="397">
        <v>3965956.9999999995</v>
      </c>
      <c r="BD10" s="397">
        <v>4098022</v>
      </c>
      <c r="BE10" s="397">
        <v>4237635.9999999991</v>
      </c>
      <c r="BF10" s="397">
        <v>4385364.0000000009</v>
      </c>
      <c r="BG10" s="397">
        <v>4541065.9999999981</v>
      </c>
      <c r="BH10" s="398">
        <f t="shared" si="12"/>
        <v>304674.47798780497</v>
      </c>
      <c r="BI10" s="399">
        <f t="shared" si="13"/>
        <v>336433.84821951221</v>
      </c>
      <c r="BJ10" s="399">
        <f t="shared" si="14"/>
        <v>383617.96456097567</v>
      </c>
      <c r="BK10" s="399">
        <f t="shared" si="15"/>
        <v>433667.94765853666</v>
      </c>
      <c r="BL10" s="399">
        <f t="shared" si="16"/>
        <v>490506.69209756103</v>
      </c>
      <c r="BM10" s="399">
        <f t="shared" si="17"/>
        <v>536274.77092682919</v>
      </c>
      <c r="BN10" s="399">
        <f t="shared" si="18"/>
        <v>581069.53407317074</v>
      </c>
      <c r="BO10" s="399">
        <f t="shared" si="19"/>
        <v>636678.96975609753</v>
      </c>
      <c r="BP10" s="399">
        <f t="shared" si="20"/>
        <v>687699.94726829301</v>
      </c>
      <c r="BQ10" s="400">
        <f t="shared" si="21"/>
        <v>741965.8813170729</v>
      </c>
      <c r="BR10" s="398">
        <v>0</v>
      </c>
      <c r="BS10" s="399">
        <f t="shared" si="24"/>
        <v>31759.370231707231</v>
      </c>
      <c r="BT10" s="399">
        <f t="shared" si="22"/>
        <v>78943.486573170696</v>
      </c>
      <c r="BU10" s="399">
        <f t="shared" si="22"/>
        <v>128993.46967073169</v>
      </c>
      <c r="BV10" s="399">
        <f t="shared" si="22"/>
        <v>185832.21410975605</v>
      </c>
      <c r="BW10" s="399">
        <f t="shared" si="22"/>
        <v>231600.29293902422</v>
      </c>
      <c r="BX10" s="399">
        <f t="shared" si="22"/>
        <v>276395.05608536577</v>
      </c>
      <c r="BY10" s="399">
        <f t="shared" si="22"/>
        <v>332004.49176829256</v>
      </c>
      <c r="BZ10" s="399">
        <f t="shared" si="22"/>
        <v>383025.46928048803</v>
      </c>
      <c r="CA10" s="399">
        <f t="shared" si="22"/>
        <v>437291.40332926792</v>
      </c>
      <c r="CB10" s="398">
        <v>0</v>
      </c>
      <c r="CC10" s="399">
        <v>0</v>
      </c>
      <c r="CD10" s="399">
        <v>0</v>
      </c>
      <c r="CE10" s="399">
        <v>0</v>
      </c>
      <c r="CF10" s="399">
        <v>0</v>
      </c>
      <c r="CG10" s="399">
        <f t="shared" si="25"/>
        <v>45768.078829268168</v>
      </c>
      <c r="CH10" s="399">
        <f t="shared" si="23"/>
        <v>90562.841975609714</v>
      </c>
      <c r="CI10" s="399">
        <f t="shared" si="23"/>
        <v>146172.27765853651</v>
      </c>
      <c r="CJ10" s="399">
        <f t="shared" si="23"/>
        <v>197193.25517073198</v>
      </c>
      <c r="CK10" s="400">
        <f t="shared" si="23"/>
        <v>251459.18921951187</v>
      </c>
      <c r="CL10" s="390">
        <v>0.26800000000000002</v>
      </c>
      <c r="CM10" s="391">
        <v>0.26500000000000001</v>
      </c>
      <c r="CN10" s="391">
        <v>0.26400000000000001</v>
      </c>
      <c r="CO10" s="391">
        <v>0.26300000000000001</v>
      </c>
      <c r="CP10" s="391">
        <v>0.26100000000000001</v>
      </c>
      <c r="CQ10" s="391">
        <v>0.25700000000000001</v>
      </c>
      <c r="CR10" s="391">
        <v>0.253</v>
      </c>
      <c r="CS10" s="391">
        <v>0.249</v>
      </c>
      <c r="CT10" s="391">
        <v>0.248</v>
      </c>
      <c r="CU10" s="392">
        <v>0.248</v>
      </c>
      <c r="CV10" s="390">
        <v>0.26200000000000001</v>
      </c>
      <c r="CW10" s="391">
        <v>0.27800000000000002</v>
      </c>
      <c r="CX10" s="391">
        <v>0.29899999999999999</v>
      </c>
      <c r="CY10" s="391">
        <v>0.32200000000000001</v>
      </c>
      <c r="CZ10" s="391">
        <v>0.34200000000000003</v>
      </c>
      <c r="DA10" s="391">
        <v>0.36</v>
      </c>
      <c r="DB10" s="391">
        <v>0.374</v>
      </c>
      <c r="DC10" s="391">
        <v>0.39100000000000001</v>
      </c>
      <c r="DD10" s="391">
        <v>0.40300000000000002</v>
      </c>
      <c r="DE10" s="392">
        <v>0.41299999999999998</v>
      </c>
      <c r="DF10" s="401"/>
      <c r="DG10" s="401">
        <v>2792583.0350000015</v>
      </c>
      <c r="DH10" s="401">
        <v>2873816.1100999988</v>
      </c>
      <c r="DI10" s="401">
        <v>2958964.2447999986</v>
      </c>
      <c r="DJ10" s="401">
        <v>3048646.226400001</v>
      </c>
      <c r="DK10" s="401">
        <v>3145888.8265999989</v>
      </c>
      <c r="DL10" s="401">
        <v>3247750.0735999993</v>
      </c>
      <c r="DM10" s="401">
        <v>3354742.5929999975</v>
      </c>
      <c r="DN10" s="401">
        <v>3465249.3904000004</v>
      </c>
      <c r="DO10" s="401">
        <v>3578986.3133999985</v>
      </c>
      <c r="DP10" s="402"/>
      <c r="DQ10" s="402"/>
      <c r="DR10" s="402"/>
      <c r="DS10" s="402"/>
      <c r="DT10" s="402"/>
      <c r="DU10" s="402"/>
      <c r="DV10" s="402"/>
      <c r="DW10" s="402"/>
      <c r="DX10" s="402"/>
      <c r="DY10"/>
      <c r="DZ10"/>
      <c r="EA10"/>
      <c r="EB10"/>
      <c r="EC10"/>
      <c r="ED10"/>
      <c r="EE10"/>
      <c r="EF10"/>
      <c r="EG10"/>
      <c r="EH10" s="403">
        <f t="shared" si="26"/>
        <v>119161.57361300818</v>
      </c>
      <c r="EI10" s="404">
        <v>131583.01619252033</v>
      </c>
      <c r="EJ10" s="404">
        <v>150037.24836162603</v>
      </c>
      <c r="EK10" s="404">
        <v>169612.35286200544</v>
      </c>
      <c r="EL10" s="404">
        <v>191842.61735371276</v>
      </c>
      <c r="EM10" s="404">
        <v>209743.0215180488</v>
      </c>
      <c r="EN10" s="404">
        <v>227262.75110417351</v>
      </c>
      <c r="EO10" s="404">
        <v>249012.21928238482</v>
      </c>
      <c r="EP10" s="404">
        <v>268967.09048715455</v>
      </c>
      <c r="EQ10" s="405">
        <v>290191.10024845513</v>
      </c>
      <c r="ER10" s="404">
        <f t="shared" si="27"/>
        <v>42540.681779843922</v>
      </c>
      <c r="ES10" s="404">
        <v>46975.136780729757</v>
      </c>
      <c r="ET10" s="404">
        <v>53563.297665100479</v>
      </c>
      <c r="EU10" s="404">
        <v>60551.609971735947</v>
      </c>
      <c r="EV10" s="404">
        <v>68487.814395275447</v>
      </c>
      <c r="EW10" s="404">
        <v>74878.258681943407</v>
      </c>
      <c r="EX10" s="404">
        <v>81132.802144189918</v>
      </c>
      <c r="EY10" s="404">
        <v>88897.362283811395</v>
      </c>
      <c r="EZ10" s="404">
        <v>96021.251303914178</v>
      </c>
      <c r="FA10" s="404">
        <v>103598.22278869849</v>
      </c>
      <c r="FB10" s="403">
        <f t="shared" si="28"/>
        <v>482.73028236803151</v>
      </c>
      <c r="FC10" s="404">
        <v>533.05024963616791</v>
      </c>
      <c r="FD10" s="404">
        <v>607.80938914542583</v>
      </c>
      <c r="FE10" s="404">
        <v>687.10924593936443</v>
      </c>
      <c r="FF10" s="404">
        <v>777.16530620967285</v>
      </c>
      <c r="FG10" s="404">
        <v>849.68085711045865</v>
      </c>
      <c r="FH10" s="404">
        <v>920.65427373877287</v>
      </c>
      <c r="FI10" s="404">
        <v>1008.7626009174629</v>
      </c>
      <c r="FJ10" s="404">
        <v>1089.6009141356144</v>
      </c>
      <c r="FK10" s="405">
        <v>1175.5805795127092</v>
      </c>
    </row>
    <row r="11" spans="1:167" s="406" customFormat="1" ht="15" customHeight="1" x14ac:dyDescent="0.35">
      <c r="A11" s="377" t="s">
        <v>65</v>
      </c>
      <c r="B11" s="378" t="s">
        <v>251</v>
      </c>
      <c r="C11" s="379" t="s">
        <v>14</v>
      </c>
      <c r="D11" s="380"/>
      <c r="E11" s="381" t="s">
        <v>247</v>
      </c>
      <c r="F11" s="382" t="s">
        <v>12</v>
      </c>
      <c r="G11" s="382">
        <v>2015</v>
      </c>
      <c r="H11" s="382" t="s">
        <v>242</v>
      </c>
      <c r="I11" s="383" t="s">
        <v>39</v>
      </c>
      <c r="J11" s="382">
        <v>2015</v>
      </c>
      <c r="K11" s="384" t="str">
        <f t="shared" si="0"/>
        <v>Ratio</v>
      </c>
      <c r="L11" s="385"/>
      <c r="M11" s="386" t="s">
        <v>64</v>
      </c>
      <c r="N11" s="387" t="s">
        <v>242</v>
      </c>
      <c r="O11" s="388" t="s">
        <v>242</v>
      </c>
      <c r="P11" s="388" t="s">
        <v>242</v>
      </c>
      <c r="Q11" s="389" t="s">
        <v>242</v>
      </c>
      <c r="R11" s="390">
        <v>0.108822081565422</v>
      </c>
      <c r="S11" s="391">
        <v>0.117335551</v>
      </c>
      <c r="T11" s="391">
        <v>0.125933569</v>
      </c>
      <c r="U11" s="391">
        <v>0.13580382599999999</v>
      </c>
      <c r="V11" s="391">
        <v>0.14506158299999999</v>
      </c>
      <c r="W11" s="391">
        <v>0.153304621</v>
      </c>
      <c r="X11" s="391">
        <v>0.160929353</v>
      </c>
      <c r="Y11" s="391">
        <v>0.17005479000000001</v>
      </c>
      <c r="Z11" s="391">
        <v>0.178221611</v>
      </c>
      <c r="AA11" s="392">
        <v>0.18661521</v>
      </c>
      <c r="AB11" s="410">
        <f>10.4/15.6</f>
        <v>0.66666666666666674</v>
      </c>
      <c r="AC11" s="394">
        <f t="shared" si="1"/>
        <v>0.66666666666666674</v>
      </c>
      <c r="AD11" s="394">
        <f t="shared" si="1"/>
        <v>0.66666666666666674</v>
      </c>
      <c r="AE11" s="394">
        <f t="shared" si="1"/>
        <v>0.66666666666666674</v>
      </c>
      <c r="AF11" s="394">
        <f t="shared" si="1"/>
        <v>0.66666666666666674</v>
      </c>
      <c r="AG11" s="394">
        <f t="shared" si="1"/>
        <v>0.66666666666666674</v>
      </c>
      <c r="AH11" s="394">
        <f t="shared" si="1"/>
        <v>0.66666666666666674</v>
      </c>
      <c r="AI11" s="394">
        <f t="shared" si="1"/>
        <v>0.66666666666666674</v>
      </c>
      <c r="AJ11" s="394">
        <f t="shared" si="1"/>
        <v>0.66666666666666674</v>
      </c>
      <c r="AK11" s="394">
        <f t="shared" si="1"/>
        <v>0.66666666666666674</v>
      </c>
      <c r="AL11" s="394">
        <f t="shared" si="1"/>
        <v>0.66666666666666674</v>
      </c>
      <c r="AM11" s="395" t="s">
        <v>63</v>
      </c>
      <c r="AN11" s="390">
        <f t="shared" si="2"/>
        <v>7.2548054376948015E-2</v>
      </c>
      <c r="AO11" s="391">
        <f t="shared" si="3"/>
        <v>7.8223700666666673E-2</v>
      </c>
      <c r="AP11" s="391">
        <f t="shared" si="4"/>
        <v>8.3955712666666668E-2</v>
      </c>
      <c r="AQ11" s="391">
        <f t="shared" si="5"/>
        <v>9.0535883999999997E-2</v>
      </c>
      <c r="AR11" s="391">
        <f t="shared" si="6"/>
        <v>9.670772200000001E-2</v>
      </c>
      <c r="AS11" s="391">
        <f t="shared" si="7"/>
        <v>0.10220308066666668</v>
      </c>
      <c r="AT11" s="391">
        <f t="shared" si="8"/>
        <v>0.10728623533333334</v>
      </c>
      <c r="AU11" s="391">
        <f t="shared" si="9"/>
        <v>0.11336986000000002</v>
      </c>
      <c r="AV11" s="391">
        <f t="shared" si="10"/>
        <v>0.11881440733333334</v>
      </c>
      <c r="AW11" s="392">
        <f t="shared" si="11"/>
        <v>0.12441014000000002</v>
      </c>
      <c r="AX11" s="396">
        <v>873739</v>
      </c>
      <c r="AY11" s="397">
        <v>900782</v>
      </c>
      <c r="AZ11" s="397">
        <v>928539.99999999977</v>
      </c>
      <c r="BA11" s="397">
        <v>956990.99999999988</v>
      </c>
      <c r="BB11" s="397">
        <v>986116.00000000012</v>
      </c>
      <c r="BC11" s="397">
        <v>1014711.0000000001</v>
      </c>
      <c r="BD11" s="397">
        <v>1044437.0000000001</v>
      </c>
      <c r="BE11" s="397">
        <v>1075036</v>
      </c>
      <c r="BF11" s="397">
        <v>1106209.9999999995</v>
      </c>
      <c r="BG11" s="397">
        <v>1137851.0000000005</v>
      </c>
      <c r="BH11" s="398">
        <f t="shared" si="12"/>
        <v>63388.064483260183</v>
      </c>
      <c r="BI11" s="399">
        <f t="shared" si="13"/>
        <v>70462.501533921342</v>
      </c>
      <c r="BJ11" s="399">
        <f t="shared" si="14"/>
        <v>77956.237439506644</v>
      </c>
      <c r="BK11" s="399">
        <f t="shared" si="15"/>
        <v>86642.026165043993</v>
      </c>
      <c r="BL11" s="399">
        <f t="shared" si="16"/>
        <v>95365.031987752023</v>
      </c>
      <c r="BM11" s="399">
        <f t="shared" si="17"/>
        <v>103706.59018635402</v>
      </c>
      <c r="BN11" s="399">
        <f t="shared" si="18"/>
        <v>112053.71377284068</v>
      </c>
      <c r="BO11" s="399">
        <f t="shared" si="19"/>
        <v>121876.68081496001</v>
      </c>
      <c r="BP11" s="399">
        <f t="shared" si="20"/>
        <v>131433.68553620661</v>
      </c>
      <c r="BQ11" s="400">
        <f t="shared" si="21"/>
        <v>141560.20220914009</v>
      </c>
      <c r="BR11" s="398">
        <v>0</v>
      </c>
      <c r="BS11" s="399">
        <f t="shared" si="24"/>
        <v>7074.4370506611594</v>
      </c>
      <c r="BT11" s="399">
        <f t="shared" si="22"/>
        <v>14568.172956246461</v>
      </c>
      <c r="BU11" s="399">
        <f t="shared" si="22"/>
        <v>23253.96168178381</v>
      </c>
      <c r="BV11" s="399">
        <f t="shared" si="22"/>
        <v>31976.96750449184</v>
      </c>
      <c r="BW11" s="399">
        <f t="shared" si="22"/>
        <v>40318.525703093837</v>
      </c>
      <c r="BX11" s="399">
        <f t="shared" si="22"/>
        <v>48665.649289580499</v>
      </c>
      <c r="BY11" s="399">
        <f t="shared" si="22"/>
        <v>58488.616331699828</v>
      </c>
      <c r="BZ11" s="399">
        <f t="shared" si="22"/>
        <v>68045.62105294643</v>
      </c>
      <c r="CA11" s="399">
        <f t="shared" si="22"/>
        <v>78172.137725879904</v>
      </c>
      <c r="CB11" s="398">
        <v>0</v>
      </c>
      <c r="CC11" s="399">
        <v>0</v>
      </c>
      <c r="CD11" s="399">
        <v>0</v>
      </c>
      <c r="CE11" s="399">
        <v>0</v>
      </c>
      <c r="CF11" s="399">
        <v>0</v>
      </c>
      <c r="CG11" s="399">
        <f t="shared" si="25"/>
        <v>8341.558198601997</v>
      </c>
      <c r="CH11" s="399">
        <f t="shared" si="23"/>
        <v>16688.681785088658</v>
      </c>
      <c r="CI11" s="399">
        <f t="shared" si="23"/>
        <v>26511.648827207988</v>
      </c>
      <c r="CJ11" s="399">
        <f t="shared" si="23"/>
        <v>36068.653548454589</v>
      </c>
      <c r="CK11" s="400">
        <f t="shared" si="23"/>
        <v>46195.170221388064</v>
      </c>
      <c r="CL11" s="390">
        <v>0.32278804903317898</v>
      </c>
      <c r="CM11" s="391">
        <v>0.32136632999999998</v>
      </c>
      <c r="CN11" s="391">
        <v>0.32039381700000003</v>
      </c>
      <c r="CO11" s="391">
        <v>0.319477974</v>
      </c>
      <c r="CP11" s="391">
        <v>0.31755925800000001</v>
      </c>
      <c r="CQ11" s="391">
        <v>0.31521813500000001</v>
      </c>
      <c r="CR11" s="391">
        <v>0.31247420999999997</v>
      </c>
      <c r="CS11" s="391">
        <v>0.30914538800000002</v>
      </c>
      <c r="CT11" s="391">
        <v>0.30649116900000001</v>
      </c>
      <c r="CU11" s="392">
        <v>0.30444751599999997</v>
      </c>
      <c r="CV11" s="390">
        <v>0.25132278347913101</v>
      </c>
      <c r="CW11" s="391">
        <v>0.26627452099999999</v>
      </c>
      <c r="CX11" s="391">
        <v>0.28250604400000001</v>
      </c>
      <c r="CY11" s="391">
        <v>0.29891883299999999</v>
      </c>
      <c r="CZ11" s="391">
        <v>0.31353008500000001</v>
      </c>
      <c r="DA11" s="391">
        <v>0.32800209299999999</v>
      </c>
      <c r="DB11" s="391">
        <v>0.34133070500000001</v>
      </c>
      <c r="DC11" s="391">
        <v>0.35336626599999998</v>
      </c>
      <c r="DD11" s="391">
        <v>0.36549079200000001</v>
      </c>
      <c r="DE11" s="392">
        <v>0.38059452500000002</v>
      </c>
      <c r="DF11" s="401"/>
      <c r="DG11" s="401">
        <v>542524.62959999999</v>
      </c>
      <c r="DH11" s="401">
        <v>559408.05240000016</v>
      </c>
      <c r="DI11" s="401">
        <v>576711.15989999939</v>
      </c>
      <c r="DJ11" s="401">
        <v>594401.62050000008</v>
      </c>
      <c r="DK11" s="401">
        <v>611492.16269999964</v>
      </c>
      <c r="DL11" s="401">
        <v>629024.16760000051</v>
      </c>
      <c r="DM11" s="401">
        <v>646828.8955000001</v>
      </c>
      <c r="DN11" s="401">
        <v>664703.11860000016</v>
      </c>
      <c r="DO11" s="401">
        <v>682549.7476000007</v>
      </c>
      <c r="DP11" s="402"/>
      <c r="DQ11" s="402"/>
      <c r="DR11" s="402"/>
      <c r="DS11" s="402"/>
      <c r="DT11" s="402"/>
      <c r="DU11" s="402"/>
      <c r="DV11" s="402"/>
      <c r="DW11" s="402"/>
      <c r="DX11" s="402"/>
      <c r="DY11"/>
      <c r="DZ11"/>
      <c r="EA11"/>
      <c r="EB11"/>
      <c r="EC11"/>
      <c r="ED11"/>
      <c r="EE11"/>
      <c r="EF11"/>
      <c r="EG11"/>
      <c r="EH11" s="403">
        <f t="shared" si="26"/>
        <v>22905.45097589014</v>
      </c>
      <c r="EI11" s="404">
        <v>25461.818209483983</v>
      </c>
      <c r="EJ11" s="404">
        <v>28169.700234450709</v>
      </c>
      <c r="EK11" s="404">
        <v>31308.333815734371</v>
      </c>
      <c r="EL11" s="404">
        <v>34460.415897167994</v>
      </c>
      <c r="EM11" s="404">
        <v>37474.660833311631</v>
      </c>
      <c r="EN11" s="404">
        <v>40490.916837633355</v>
      </c>
      <c r="EO11" s="404">
        <v>44040.472922919223</v>
      </c>
      <c r="EP11" s="404">
        <v>47493.922794017184</v>
      </c>
      <c r="EQ11" s="405">
        <v>51153.167371041091</v>
      </c>
      <c r="ER11" s="404">
        <f t="shared" si="27"/>
        <v>8177.2459983927793</v>
      </c>
      <c r="ES11" s="404">
        <v>9089.8691007857815</v>
      </c>
      <c r="ET11" s="404">
        <v>10056.582983698901</v>
      </c>
      <c r="EU11" s="404">
        <v>11177.075172217168</v>
      </c>
      <c r="EV11" s="404">
        <v>12302.368475288973</v>
      </c>
      <c r="EW11" s="404">
        <v>13378.453917492252</v>
      </c>
      <c r="EX11" s="404">
        <v>14455.257311035106</v>
      </c>
      <c r="EY11" s="404">
        <v>15722.448833482158</v>
      </c>
      <c r="EZ11" s="404">
        <v>16955.330437464134</v>
      </c>
      <c r="FA11" s="404">
        <v>18261.680751461667</v>
      </c>
      <c r="FB11" s="403">
        <f t="shared" si="28"/>
        <v>120.16675224271958</v>
      </c>
      <c r="FC11" s="404">
        <v>133.5779855916731</v>
      </c>
      <c r="FD11" s="404">
        <v>147.78409699891833</v>
      </c>
      <c r="FE11" s="404">
        <v>164.25002051816205</v>
      </c>
      <c r="FF11" s="404">
        <v>180.78649766183591</v>
      </c>
      <c r="FG11" s="404">
        <v>196.59985251879561</v>
      </c>
      <c r="FH11" s="404">
        <v>212.42375785702512</v>
      </c>
      <c r="FI11" s="404">
        <v>231.04546616222947</v>
      </c>
      <c r="FJ11" s="404">
        <v>249.16298131090269</v>
      </c>
      <c r="FK11" s="405">
        <v>268.36013822108907</v>
      </c>
    </row>
    <row r="12" spans="1:167" s="406" customFormat="1" ht="15" customHeight="1" x14ac:dyDescent="0.35">
      <c r="A12" s="377" t="s">
        <v>250</v>
      </c>
      <c r="B12" s="378" t="s">
        <v>251</v>
      </c>
      <c r="C12" s="409" t="s">
        <v>15</v>
      </c>
      <c r="D12" s="380"/>
      <c r="E12" s="381" t="s">
        <v>258</v>
      </c>
      <c r="F12" s="382" t="s">
        <v>244</v>
      </c>
      <c r="G12" s="382">
        <v>2017</v>
      </c>
      <c r="H12" s="382" t="s">
        <v>8</v>
      </c>
      <c r="I12" s="383" t="s">
        <v>16</v>
      </c>
      <c r="J12" s="382">
        <v>2017</v>
      </c>
      <c r="K12" s="384" t="str">
        <f t="shared" si="0"/>
        <v>Trend Ratio</v>
      </c>
      <c r="L12" s="385"/>
      <c r="M12" s="386" t="s">
        <v>64</v>
      </c>
      <c r="N12" s="387" t="s">
        <v>242</v>
      </c>
      <c r="O12" s="388" t="s">
        <v>241</v>
      </c>
      <c r="P12" s="388" t="s">
        <v>242</v>
      </c>
      <c r="Q12" s="389" t="s">
        <v>242</v>
      </c>
      <c r="R12" s="390">
        <v>0.11700000000000001</v>
      </c>
      <c r="S12" s="391">
        <v>0.122</v>
      </c>
      <c r="T12" s="391">
        <v>0.127</v>
      </c>
      <c r="U12" s="391">
        <v>0.13500000000000001</v>
      </c>
      <c r="V12" s="391">
        <v>0.14599999999999999</v>
      </c>
      <c r="W12" s="391">
        <v>0.158</v>
      </c>
      <c r="X12" s="391">
        <v>0.17299999999999999</v>
      </c>
      <c r="Y12" s="391">
        <v>0.183</v>
      </c>
      <c r="Z12" s="391">
        <v>0.192</v>
      </c>
      <c r="AA12" s="392">
        <v>0.20100000000000001</v>
      </c>
      <c r="AB12" s="410">
        <f>15.2/18.1</f>
        <v>0.83977900552486173</v>
      </c>
      <c r="AC12" s="394">
        <v>0.90163934426229508</v>
      </c>
      <c r="AD12" s="394">
        <v>0.90163934426229508</v>
      </c>
      <c r="AE12" s="394">
        <v>0.90163934426229508</v>
      </c>
      <c r="AF12" s="394">
        <v>0.90163934426229508</v>
      </c>
      <c r="AG12" s="394">
        <v>0.91666666666666674</v>
      </c>
      <c r="AH12" s="394">
        <v>0.875</v>
      </c>
      <c r="AI12" s="394">
        <v>0.83977900552486173</v>
      </c>
      <c r="AJ12" s="394">
        <v>0.83977900552486173</v>
      </c>
      <c r="AK12" s="394">
        <v>0.83977900552486173</v>
      </c>
      <c r="AL12" s="394">
        <v>0.83977900552486173</v>
      </c>
      <c r="AM12" s="395" t="s">
        <v>66</v>
      </c>
      <c r="AN12" s="390">
        <f t="shared" si="2"/>
        <v>0.10549180327868853</v>
      </c>
      <c r="AO12" s="391">
        <f t="shared" si="3"/>
        <v>0.11</v>
      </c>
      <c r="AP12" s="391">
        <f t="shared" si="4"/>
        <v>0.11450819672131148</v>
      </c>
      <c r="AQ12" s="391">
        <f t="shared" si="5"/>
        <v>0.12172131147540985</v>
      </c>
      <c r="AR12" s="391">
        <f t="shared" si="6"/>
        <v>0.13383333333333333</v>
      </c>
      <c r="AS12" s="391">
        <f t="shared" si="7"/>
        <v>0.13825000000000001</v>
      </c>
      <c r="AT12" s="391">
        <f t="shared" si="8"/>
        <v>0.14528176795580106</v>
      </c>
      <c r="AU12" s="391">
        <f t="shared" si="9"/>
        <v>0.15367955801104968</v>
      </c>
      <c r="AV12" s="391">
        <f t="shared" si="10"/>
        <v>0.16123756906077347</v>
      </c>
      <c r="AW12" s="392">
        <f t="shared" si="11"/>
        <v>0.16879558011049722</v>
      </c>
      <c r="AX12" s="396">
        <v>3585865.9999999995</v>
      </c>
      <c r="AY12" s="397">
        <v>3719064.0000000005</v>
      </c>
      <c r="AZ12" s="397">
        <v>3862006.0000000014</v>
      </c>
      <c r="BA12" s="397">
        <v>4014069.0000000005</v>
      </c>
      <c r="BB12" s="397">
        <v>4175086.0000000009</v>
      </c>
      <c r="BC12" s="397">
        <v>4338584.0000000019</v>
      </c>
      <c r="BD12" s="397">
        <v>4512875.0000000009</v>
      </c>
      <c r="BE12" s="397">
        <v>4697557.0000000009</v>
      </c>
      <c r="BF12" s="397">
        <v>4892347</v>
      </c>
      <c r="BG12" s="397">
        <v>5097271.9999999991</v>
      </c>
      <c r="BH12" s="398">
        <f t="shared" si="12"/>
        <v>378279.47065573768</v>
      </c>
      <c r="BI12" s="399">
        <f t="shared" si="13"/>
        <v>409097.04000000004</v>
      </c>
      <c r="BJ12" s="399">
        <f t="shared" si="14"/>
        <v>442231.34278688539</v>
      </c>
      <c r="BK12" s="399">
        <f t="shared" si="15"/>
        <v>488597.743032787</v>
      </c>
      <c r="BL12" s="399">
        <f t="shared" si="16"/>
        <v>558765.67633333348</v>
      </c>
      <c r="BM12" s="399">
        <f t="shared" si="17"/>
        <v>599809.23800000036</v>
      </c>
      <c r="BN12" s="399">
        <f t="shared" si="18"/>
        <v>655638.45856353582</v>
      </c>
      <c r="BO12" s="399">
        <f t="shared" si="19"/>
        <v>721918.48349171272</v>
      </c>
      <c r="BP12" s="399">
        <f t="shared" si="20"/>
        <v>788830.13728176791</v>
      </c>
      <c r="BQ12" s="400">
        <f t="shared" si="21"/>
        <v>860396.98422099429</v>
      </c>
      <c r="BR12" s="398">
        <v>0</v>
      </c>
      <c r="BS12" s="399">
        <f t="shared" si="24"/>
        <v>30817.56934426236</v>
      </c>
      <c r="BT12" s="399">
        <f t="shared" si="22"/>
        <v>63951.872131147713</v>
      </c>
      <c r="BU12" s="399">
        <f t="shared" si="22"/>
        <v>110318.27237704932</v>
      </c>
      <c r="BV12" s="399">
        <f t="shared" si="22"/>
        <v>180486.2056775958</v>
      </c>
      <c r="BW12" s="399">
        <f t="shared" si="22"/>
        <v>221529.76734426268</v>
      </c>
      <c r="BX12" s="399">
        <f t="shared" si="22"/>
        <v>277358.98790779815</v>
      </c>
      <c r="BY12" s="399">
        <f t="shared" si="22"/>
        <v>343639.01283597504</v>
      </c>
      <c r="BZ12" s="399">
        <f t="shared" si="22"/>
        <v>410550.66662603023</v>
      </c>
      <c r="CA12" s="399">
        <f t="shared" si="22"/>
        <v>482117.51356525661</v>
      </c>
      <c r="CB12" s="398">
        <v>0</v>
      </c>
      <c r="CC12" s="399">
        <v>0</v>
      </c>
      <c r="CD12" s="399">
        <v>0</v>
      </c>
      <c r="CE12" s="399">
        <v>0</v>
      </c>
      <c r="CF12" s="399">
        <v>0</v>
      </c>
      <c r="CG12" s="399">
        <f t="shared" si="25"/>
        <v>41043.561666666879</v>
      </c>
      <c r="CH12" s="399">
        <f t="shared" si="23"/>
        <v>96872.782230202341</v>
      </c>
      <c r="CI12" s="399">
        <f t="shared" si="23"/>
        <v>163152.80715837923</v>
      </c>
      <c r="CJ12" s="399">
        <f t="shared" si="23"/>
        <v>230064.46094843443</v>
      </c>
      <c r="CK12" s="400">
        <f t="shared" si="23"/>
        <v>301631.30788766081</v>
      </c>
      <c r="CL12" s="390">
        <v>0.17899999999999999</v>
      </c>
      <c r="CM12" s="391">
        <v>0.17899999999999999</v>
      </c>
      <c r="CN12" s="391">
        <v>0.183</v>
      </c>
      <c r="CO12" s="391">
        <v>0.187</v>
      </c>
      <c r="CP12" s="391">
        <v>0.191</v>
      </c>
      <c r="CQ12" s="391">
        <v>0.19500000000000001</v>
      </c>
      <c r="CR12" s="391">
        <v>0.19600000000000001</v>
      </c>
      <c r="CS12" s="391">
        <v>0.19600000000000001</v>
      </c>
      <c r="CT12" s="391">
        <v>0.19700000000000001</v>
      </c>
      <c r="CU12" s="392">
        <v>0.19700000000000001</v>
      </c>
      <c r="CV12" s="390">
        <v>0.39600000000000002</v>
      </c>
      <c r="CW12" s="391">
        <v>0.40400000000000003</v>
      </c>
      <c r="CX12" s="391">
        <v>0.41</v>
      </c>
      <c r="CY12" s="391">
        <v>0.42099999999999999</v>
      </c>
      <c r="CZ12" s="391">
        <v>0.434</v>
      </c>
      <c r="DA12" s="391">
        <v>0.44700000000000001</v>
      </c>
      <c r="DB12" s="391">
        <v>0.46899999999999997</v>
      </c>
      <c r="DC12" s="391">
        <v>0.48299999999999998</v>
      </c>
      <c r="DD12" s="391">
        <v>0.49399999999999999</v>
      </c>
      <c r="DE12" s="392">
        <v>0.505</v>
      </c>
      <c r="DF12" s="411"/>
      <c r="DG12" s="411">
        <v>3188375.140000002</v>
      </c>
      <c r="DH12" s="411">
        <v>3311126.9270000011</v>
      </c>
      <c r="DI12" s="411">
        <v>3439483.6862999988</v>
      </c>
      <c r="DJ12" s="411">
        <v>3573228.3485000012</v>
      </c>
      <c r="DK12" s="411">
        <v>3706709.3402000028</v>
      </c>
      <c r="DL12" s="411">
        <v>3846742.9459000002</v>
      </c>
      <c r="DM12" s="411">
        <v>3992770.8450000021</v>
      </c>
      <c r="DN12" s="411">
        <v>4144287.7814999991</v>
      </c>
      <c r="DO12" s="411">
        <v>4301011.8521999996</v>
      </c>
      <c r="DP12" s="412"/>
      <c r="DQ12" s="412"/>
      <c r="DR12" s="412"/>
      <c r="DS12" s="412"/>
      <c r="DT12" s="412"/>
      <c r="DU12" s="412"/>
      <c r="DV12" s="412"/>
      <c r="DW12" s="412"/>
      <c r="DX12" s="412"/>
      <c r="DY12"/>
      <c r="DZ12"/>
      <c r="EA12"/>
      <c r="EB12"/>
      <c r="EC12"/>
      <c r="ED12"/>
      <c r="EE12"/>
      <c r="EF12"/>
      <c r="EG12"/>
      <c r="EH12" s="403">
        <f t="shared" si="26"/>
        <v>113683.29764488523</v>
      </c>
      <c r="EI12" s="404">
        <v>122944.81771199999</v>
      </c>
      <c r="EJ12" s="404">
        <v>132902.57936226233</v>
      </c>
      <c r="EK12" s="404">
        <v>146836.94717434427</v>
      </c>
      <c r="EL12" s="404">
        <v>167924.32480206667</v>
      </c>
      <c r="EM12" s="404">
        <v>224881.63229748365</v>
      </c>
      <c r="EN12" s="404">
        <v>245813.23097056727</v>
      </c>
      <c r="EO12" s="404">
        <v>270663.06530167226</v>
      </c>
      <c r="EP12" s="404">
        <v>295749.71113961405</v>
      </c>
      <c r="EQ12" s="405">
        <v>322581.69093996083</v>
      </c>
      <c r="ER12" s="404">
        <f t="shared" si="27"/>
        <v>40584.937259224018</v>
      </c>
      <c r="ES12" s="404">
        <v>43891.299923183993</v>
      </c>
      <c r="ET12" s="404">
        <v>47446.220832327643</v>
      </c>
      <c r="EU12" s="404">
        <v>52420.790141240897</v>
      </c>
      <c r="EV12" s="404">
        <v>59948.983954337804</v>
      </c>
      <c r="EW12" s="404">
        <v>80282.742730201659</v>
      </c>
      <c r="EX12" s="404">
        <v>87755.323456492493</v>
      </c>
      <c r="EY12" s="404">
        <v>96626.714312696975</v>
      </c>
      <c r="EZ12" s="404">
        <v>105582.64687684219</v>
      </c>
      <c r="FA12" s="404">
        <v>115161.663665566</v>
      </c>
      <c r="FB12" s="403">
        <f t="shared" si="28"/>
        <v>422.58481042721712</v>
      </c>
      <c r="FC12" s="404">
        <v>457.01183517851445</v>
      </c>
      <c r="FD12" s="404">
        <v>494.02693683751204</v>
      </c>
      <c r="FE12" s="404">
        <v>545.82392287046162</v>
      </c>
      <c r="FF12" s="404">
        <v>624.21015604478714</v>
      </c>
      <c r="FG12" s="404">
        <v>835.93248895582917</v>
      </c>
      <c r="FH12" s="404">
        <v>913.73965887831082</v>
      </c>
      <c r="FI12" s="404">
        <v>1006.1117376929176</v>
      </c>
      <c r="FJ12" s="404">
        <v>1099.3640948579664</v>
      </c>
      <c r="FK12" s="405">
        <v>1199.1042267174034</v>
      </c>
    </row>
    <row r="13" spans="1:167" s="406" customFormat="1" ht="15" customHeight="1" x14ac:dyDescent="0.35">
      <c r="A13" s="377" t="s">
        <v>253</v>
      </c>
      <c r="B13" s="378" t="s">
        <v>251</v>
      </c>
      <c r="C13" s="409" t="s">
        <v>17</v>
      </c>
      <c r="D13" s="380"/>
      <c r="E13" s="381" t="s">
        <v>258</v>
      </c>
      <c r="F13" s="382" t="s">
        <v>18</v>
      </c>
      <c r="G13" s="382">
        <v>2018</v>
      </c>
      <c r="H13" s="382" t="s">
        <v>8</v>
      </c>
      <c r="I13" s="383" t="s">
        <v>69</v>
      </c>
      <c r="J13" s="382">
        <v>2018</v>
      </c>
      <c r="K13" s="384" t="str">
        <f t="shared" si="0"/>
        <v>Ratio</v>
      </c>
      <c r="L13" s="385"/>
      <c r="M13" s="386" t="s">
        <v>64</v>
      </c>
      <c r="N13" s="387" t="s">
        <v>241</v>
      </c>
      <c r="O13" s="388" t="s">
        <v>241</v>
      </c>
      <c r="P13" s="388" t="s">
        <v>241</v>
      </c>
      <c r="Q13" s="389" t="s">
        <v>242</v>
      </c>
      <c r="R13" s="390">
        <v>0.127</v>
      </c>
      <c r="S13" s="391">
        <v>0.14399999999999999</v>
      </c>
      <c r="T13" s="391">
        <v>0.16600000000000001</v>
      </c>
      <c r="U13" s="391">
        <v>0.192</v>
      </c>
      <c r="V13" s="391">
        <v>0.21199999999999999</v>
      </c>
      <c r="W13" s="391">
        <v>0.23100000000000001</v>
      </c>
      <c r="X13" s="391">
        <v>0.247</v>
      </c>
      <c r="Y13" s="391">
        <v>0.25700000000000001</v>
      </c>
      <c r="Z13" s="391">
        <v>0.26800000000000002</v>
      </c>
      <c r="AA13" s="392">
        <v>0.27700000000000002</v>
      </c>
      <c r="AB13" s="410">
        <f>18.2/25.4</f>
        <v>0.7165354330708662</v>
      </c>
      <c r="AC13" s="394">
        <f t="shared" ref="AC13:AL14" si="29">$AB13</f>
        <v>0.7165354330708662</v>
      </c>
      <c r="AD13" s="394">
        <f t="shared" si="29"/>
        <v>0.7165354330708662</v>
      </c>
      <c r="AE13" s="394">
        <f t="shared" si="29"/>
        <v>0.7165354330708662</v>
      </c>
      <c r="AF13" s="394">
        <f t="shared" si="29"/>
        <v>0.7165354330708662</v>
      </c>
      <c r="AG13" s="394">
        <f t="shared" si="29"/>
        <v>0.7165354330708662</v>
      </c>
      <c r="AH13" s="394">
        <f t="shared" si="29"/>
        <v>0.7165354330708662</v>
      </c>
      <c r="AI13" s="394">
        <f t="shared" si="29"/>
        <v>0.7165354330708662</v>
      </c>
      <c r="AJ13" s="394">
        <f t="shared" si="29"/>
        <v>0.7165354330708662</v>
      </c>
      <c r="AK13" s="394">
        <f t="shared" si="29"/>
        <v>0.7165354330708662</v>
      </c>
      <c r="AL13" s="394">
        <f t="shared" si="29"/>
        <v>0.7165354330708662</v>
      </c>
      <c r="AM13" s="395" t="s">
        <v>63</v>
      </c>
      <c r="AN13" s="390">
        <f t="shared" si="2"/>
        <v>9.1000000000000011E-2</v>
      </c>
      <c r="AO13" s="391">
        <f t="shared" si="3"/>
        <v>0.10318110236220472</v>
      </c>
      <c r="AP13" s="391">
        <f t="shared" si="4"/>
        <v>0.11894488188976379</v>
      </c>
      <c r="AQ13" s="391">
        <f t="shared" si="5"/>
        <v>0.13757480314960632</v>
      </c>
      <c r="AR13" s="391">
        <f t="shared" si="6"/>
        <v>0.15190551181102363</v>
      </c>
      <c r="AS13" s="391">
        <f t="shared" si="7"/>
        <v>0.16551968503937009</v>
      </c>
      <c r="AT13" s="391">
        <f t="shared" si="8"/>
        <v>0.17698425196850395</v>
      </c>
      <c r="AU13" s="391">
        <f t="shared" si="9"/>
        <v>0.18414960629921262</v>
      </c>
      <c r="AV13" s="391">
        <f t="shared" si="10"/>
        <v>0.19203149606299216</v>
      </c>
      <c r="AW13" s="392">
        <f t="shared" si="11"/>
        <v>0.19848031496062996</v>
      </c>
      <c r="AX13" s="396">
        <v>3195713.9999999991</v>
      </c>
      <c r="AY13" s="397">
        <v>3285914.0000000005</v>
      </c>
      <c r="AZ13" s="397">
        <v>3379254.9999999995</v>
      </c>
      <c r="BA13" s="397">
        <v>3475057.0000000009</v>
      </c>
      <c r="BB13" s="397">
        <v>3573263.0000000005</v>
      </c>
      <c r="BC13" s="397">
        <v>3674676</v>
      </c>
      <c r="BD13" s="397">
        <v>3780022.0000000009</v>
      </c>
      <c r="BE13" s="397">
        <v>3889064.0000000005</v>
      </c>
      <c r="BF13" s="397">
        <v>4001599.9999999995</v>
      </c>
      <c r="BG13" s="397">
        <v>4117610.0000000005</v>
      </c>
      <c r="BH13" s="398">
        <f t="shared" si="12"/>
        <v>290809.97399999993</v>
      </c>
      <c r="BI13" s="399">
        <f t="shared" si="13"/>
        <v>339044.22878740163</v>
      </c>
      <c r="BJ13" s="399">
        <f t="shared" si="14"/>
        <v>401945.08685039368</v>
      </c>
      <c r="BK13" s="399">
        <f t="shared" si="15"/>
        <v>478080.28270866163</v>
      </c>
      <c r="BL13" s="399">
        <f t="shared" si="16"/>
        <v>542798.34485039383</v>
      </c>
      <c r="BM13" s="399">
        <f t="shared" si="17"/>
        <v>608231.21414173231</v>
      </c>
      <c r="BN13" s="399">
        <f t="shared" si="18"/>
        <v>669004.36609448842</v>
      </c>
      <c r="BO13" s="399">
        <f t="shared" si="19"/>
        <v>716169.60447244113</v>
      </c>
      <c r="BP13" s="399">
        <f t="shared" si="20"/>
        <v>768433.23464566935</v>
      </c>
      <c r="BQ13" s="400">
        <f t="shared" si="21"/>
        <v>817264.52968503966</v>
      </c>
      <c r="BR13" s="398">
        <v>0</v>
      </c>
      <c r="BS13" s="399">
        <f t="shared" si="24"/>
        <v>48234.254787401704</v>
      </c>
      <c r="BT13" s="399">
        <f t="shared" si="22"/>
        <v>111135.11285039375</v>
      </c>
      <c r="BU13" s="399">
        <f t="shared" si="22"/>
        <v>187270.3087086617</v>
      </c>
      <c r="BV13" s="399">
        <f t="shared" si="22"/>
        <v>251988.3708503939</v>
      </c>
      <c r="BW13" s="399">
        <f t="shared" si="22"/>
        <v>317421.24014173239</v>
      </c>
      <c r="BX13" s="399">
        <f t="shared" si="22"/>
        <v>378194.39209448849</v>
      </c>
      <c r="BY13" s="399">
        <f t="shared" si="22"/>
        <v>425359.6304724412</v>
      </c>
      <c r="BZ13" s="399">
        <f t="shared" si="22"/>
        <v>477623.26064566942</v>
      </c>
      <c r="CA13" s="399">
        <f t="shared" si="22"/>
        <v>526454.55568503973</v>
      </c>
      <c r="CB13" s="398">
        <v>0</v>
      </c>
      <c r="CC13" s="399">
        <v>0</v>
      </c>
      <c r="CD13" s="399">
        <v>0</v>
      </c>
      <c r="CE13" s="399">
        <v>0</v>
      </c>
      <c r="CF13" s="399">
        <v>0</v>
      </c>
      <c r="CG13" s="399">
        <f t="shared" si="25"/>
        <v>65432.869291338488</v>
      </c>
      <c r="CH13" s="399">
        <f t="shared" si="23"/>
        <v>126206.02124409459</v>
      </c>
      <c r="CI13" s="399">
        <f t="shared" si="23"/>
        <v>173371.25962204731</v>
      </c>
      <c r="CJ13" s="399">
        <f t="shared" si="23"/>
        <v>225634.88979527552</v>
      </c>
      <c r="CK13" s="400">
        <f t="shared" si="23"/>
        <v>274466.18483464583</v>
      </c>
      <c r="CL13" s="390">
        <v>0.312</v>
      </c>
      <c r="CM13" s="391">
        <v>0.307</v>
      </c>
      <c r="CN13" s="391">
        <v>0.30199999999999999</v>
      </c>
      <c r="CO13" s="391">
        <v>0.28100000000000003</v>
      </c>
      <c r="CP13" s="391">
        <v>0.27</v>
      </c>
      <c r="CQ13" s="391">
        <v>0.255</v>
      </c>
      <c r="CR13" s="391">
        <v>0.24</v>
      </c>
      <c r="CS13" s="391">
        <v>0.22700000000000001</v>
      </c>
      <c r="CT13" s="391">
        <v>0.22600000000000001</v>
      </c>
      <c r="CU13" s="392">
        <v>0.224</v>
      </c>
      <c r="CV13" s="390">
        <v>0.28899999999999998</v>
      </c>
      <c r="CW13" s="391">
        <v>0.31900000000000001</v>
      </c>
      <c r="CX13" s="391">
        <v>0.35399999999999998</v>
      </c>
      <c r="CY13" s="391">
        <v>0.40600000000000003</v>
      </c>
      <c r="CZ13" s="391">
        <v>0.44</v>
      </c>
      <c r="DA13" s="391">
        <v>0.47399999999999998</v>
      </c>
      <c r="DB13" s="391">
        <v>0.50800000000000001</v>
      </c>
      <c r="DC13" s="391">
        <v>0.53200000000000003</v>
      </c>
      <c r="DD13" s="391">
        <v>0.54200000000000004</v>
      </c>
      <c r="DE13" s="392">
        <v>0.55200000000000005</v>
      </c>
      <c r="DF13" s="401"/>
      <c r="DG13" s="401">
        <v>2182623.9660000014</v>
      </c>
      <c r="DH13" s="401">
        <v>2251172.6899999981</v>
      </c>
      <c r="DI13" s="401">
        <v>2321169.2216000017</v>
      </c>
      <c r="DJ13" s="401">
        <v>2392594.9286000016</v>
      </c>
      <c r="DK13" s="401">
        <v>2466935.2879999992</v>
      </c>
      <c r="DL13" s="401">
        <v>2542966.5565000023</v>
      </c>
      <c r="DM13" s="401">
        <v>2619562.2419000003</v>
      </c>
      <c r="DN13" s="401">
        <v>2695956.417200001</v>
      </c>
      <c r="DO13" s="401">
        <v>2771744.6915000002</v>
      </c>
      <c r="DP13" s="402"/>
      <c r="DQ13" s="402"/>
      <c r="DR13" s="402"/>
      <c r="DS13" s="402"/>
      <c r="DT13" s="402"/>
      <c r="DU13" s="402"/>
      <c r="DV13" s="402"/>
      <c r="DW13" s="402"/>
      <c r="DX13" s="402"/>
      <c r="DY13"/>
      <c r="DZ13"/>
      <c r="EA13"/>
      <c r="EB13"/>
      <c r="EC13"/>
      <c r="ED13"/>
      <c r="EE13"/>
      <c r="EF13"/>
      <c r="EG13"/>
      <c r="EH13" s="403">
        <f t="shared" si="26"/>
        <v>111561.77544013255</v>
      </c>
      <c r="EI13" s="404">
        <v>130065.60812200008</v>
      </c>
      <c r="EJ13" s="404">
        <v>154195.90635659627</v>
      </c>
      <c r="EK13" s="404">
        <v>183403.21828816918</v>
      </c>
      <c r="EL13" s="404">
        <v>208230.64018249689</v>
      </c>
      <c r="EM13" s="404">
        <v>233332.279475941</v>
      </c>
      <c r="EN13" s="404">
        <v>256646.33792340822</v>
      </c>
      <c r="EO13" s="404">
        <v>274740.06992347189</v>
      </c>
      <c r="EP13" s="404">
        <v>294789.66895500937</v>
      </c>
      <c r="EQ13" s="405">
        <v>313522.5407912177</v>
      </c>
      <c r="ER13" s="404">
        <f t="shared" si="27"/>
        <v>39827.553832127312</v>
      </c>
      <c r="ES13" s="404">
        <v>46433.422099554024</v>
      </c>
      <c r="ET13" s="404">
        <v>55047.938569304875</v>
      </c>
      <c r="EU13" s="404">
        <v>65474.948928876394</v>
      </c>
      <c r="EV13" s="404">
        <v>74338.338545151404</v>
      </c>
      <c r="EW13" s="404">
        <v>83299.623772910913</v>
      </c>
      <c r="EX13" s="404">
        <v>91622.742638656739</v>
      </c>
      <c r="EY13" s="404">
        <v>98082.204962679476</v>
      </c>
      <c r="EZ13" s="404">
        <v>105239.91181693834</v>
      </c>
      <c r="FA13" s="404">
        <v>111927.5470624647</v>
      </c>
      <c r="FB13" s="403">
        <f t="shared" si="28"/>
        <v>252.48057885224446</v>
      </c>
      <c r="FC13" s="404">
        <v>294.35745261184195</v>
      </c>
      <c r="FD13" s="404">
        <v>348.96783902880543</v>
      </c>
      <c r="FE13" s="404">
        <v>415.06824836801371</v>
      </c>
      <c r="FF13" s="404">
        <v>471.2563273633375</v>
      </c>
      <c r="FG13" s="404">
        <v>528.06500035142562</v>
      </c>
      <c r="FH13" s="404">
        <v>580.82811701023479</v>
      </c>
      <c r="FI13" s="404">
        <v>621.77687307789847</v>
      </c>
      <c r="FJ13" s="404">
        <v>667.15204167186266</v>
      </c>
      <c r="FK13" s="405">
        <v>709.54726446310315</v>
      </c>
    </row>
    <row r="14" spans="1:167" s="406" customFormat="1" ht="15" customHeight="1" thickBot="1" x14ac:dyDescent="0.4">
      <c r="A14" s="377" t="s">
        <v>252</v>
      </c>
      <c r="B14" s="378" t="s">
        <v>251</v>
      </c>
      <c r="C14" s="379" t="s">
        <v>19</v>
      </c>
      <c r="D14" s="380"/>
      <c r="E14" s="471" t="s">
        <v>258</v>
      </c>
      <c r="F14" s="413" t="s">
        <v>12</v>
      </c>
      <c r="G14" s="413">
        <v>2017</v>
      </c>
      <c r="H14" s="413" t="s">
        <v>8</v>
      </c>
      <c r="I14" s="414" t="s">
        <v>254</v>
      </c>
      <c r="J14" s="413">
        <v>2017</v>
      </c>
      <c r="K14" s="415" t="str">
        <f t="shared" si="0"/>
        <v>Ratio</v>
      </c>
      <c r="L14" s="416"/>
      <c r="M14" s="417" t="s">
        <v>64</v>
      </c>
      <c r="N14" s="418" t="s">
        <v>241</v>
      </c>
      <c r="O14" s="419" t="s">
        <v>241</v>
      </c>
      <c r="P14" s="419" t="s">
        <v>241</v>
      </c>
      <c r="Q14" s="420" t="s">
        <v>242</v>
      </c>
      <c r="R14" s="421">
        <v>0.14799999999999999</v>
      </c>
      <c r="S14" s="422">
        <v>0.156</v>
      </c>
      <c r="T14" s="422">
        <v>0.16400000000000001</v>
      </c>
      <c r="U14" s="422">
        <v>0.17299999999999999</v>
      </c>
      <c r="V14" s="422">
        <v>0.184</v>
      </c>
      <c r="W14" s="422">
        <v>0.192</v>
      </c>
      <c r="X14" s="422">
        <v>0.20100000000000001</v>
      </c>
      <c r="Y14" s="422">
        <v>0.20899999999999999</v>
      </c>
      <c r="Z14" s="422">
        <v>0.22</v>
      </c>
      <c r="AA14" s="423">
        <v>0.23100000000000001</v>
      </c>
      <c r="AB14" s="424">
        <f>18.9/21.4</f>
        <v>0.88317757009345799</v>
      </c>
      <c r="AC14" s="425">
        <f t="shared" si="29"/>
        <v>0.88317757009345799</v>
      </c>
      <c r="AD14" s="425">
        <f t="shared" si="29"/>
        <v>0.88317757009345799</v>
      </c>
      <c r="AE14" s="425">
        <f t="shared" si="29"/>
        <v>0.88317757009345799</v>
      </c>
      <c r="AF14" s="425">
        <f t="shared" si="29"/>
        <v>0.88317757009345799</v>
      </c>
      <c r="AG14" s="425">
        <f t="shared" si="29"/>
        <v>0.88317757009345799</v>
      </c>
      <c r="AH14" s="425">
        <f t="shared" si="29"/>
        <v>0.88317757009345799</v>
      </c>
      <c r="AI14" s="425">
        <f t="shared" si="29"/>
        <v>0.88317757009345799</v>
      </c>
      <c r="AJ14" s="425">
        <f t="shared" si="29"/>
        <v>0.88317757009345799</v>
      </c>
      <c r="AK14" s="425">
        <f t="shared" si="29"/>
        <v>0.88317757009345799</v>
      </c>
      <c r="AL14" s="425">
        <f t="shared" si="29"/>
        <v>0.88317757009345799</v>
      </c>
      <c r="AM14" s="426" t="s">
        <v>63</v>
      </c>
      <c r="AN14" s="421">
        <f t="shared" si="2"/>
        <v>0.13071028037383178</v>
      </c>
      <c r="AO14" s="422">
        <f t="shared" si="3"/>
        <v>0.13777570093457944</v>
      </c>
      <c r="AP14" s="422">
        <f t="shared" si="4"/>
        <v>0.1448411214953271</v>
      </c>
      <c r="AQ14" s="422">
        <f t="shared" si="5"/>
        <v>0.15278971962616822</v>
      </c>
      <c r="AR14" s="422">
        <f t="shared" si="6"/>
        <v>0.16250467289719628</v>
      </c>
      <c r="AS14" s="422">
        <f t="shared" si="7"/>
        <v>0.16957009345794394</v>
      </c>
      <c r="AT14" s="422">
        <f t="shared" si="8"/>
        <v>0.17751869158878505</v>
      </c>
      <c r="AU14" s="422">
        <f t="shared" si="9"/>
        <v>0.18458411214953271</v>
      </c>
      <c r="AV14" s="422">
        <f t="shared" si="10"/>
        <v>0.19429906542056075</v>
      </c>
      <c r="AW14" s="423">
        <f t="shared" si="11"/>
        <v>0.20401401869158881</v>
      </c>
      <c r="AX14" s="427">
        <v>1588808</v>
      </c>
      <c r="AY14" s="428">
        <v>1632248</v>
      </c>
      <c r="AZ14" s="428">
        <v>1677648</v>
      </c>
      <c r="BA14" s="428">
        <v>1724876.0000000002</v>
      </c>
      <c r="BB14" s="428">
        <v>1773816.9999999995</v>
      </c>
      <c r="BC14" s="428">
        <v>1823850.0000000005</v>
      </c>
      <c r="BD14" s="428">
        <v>1875423.0000000002</v>
      </c>
      <c r="BE14" s="428">
        <v>1928661</v>
      </c>
      <c r="BF14" s="428">
        <v>1983590.0000000002</v>
      </c>
      <c r="BG14" s="428">
        <v>2040067.9999999998</v>
      </c>
      <c r="BH14" s="398">
        <f t="shared" si="12"/>
        <v>207673.53914018694</v>
      </c>
      <c r="BI14" s="399">
        <f t="shared" si="13"/>
        <v>224884.11229906543</v>
      </c>
      <c r="BJ14" s="399">
        <f t="shared" si="14"/>
        <v>242992.41779439253</v>
      </c>
      <c r="BK14" s="399">
        <f t="shared" si="15"/>
        <v>263543.32042990654</v>
      </c>
      <c r="BL14" s="399">
        <f t="shared" si="16"/>
        <v>288253.55136448593</v>
      </c>
      <c r="BM14" s="399">
        <f t="shared" si="17"/>
        <v>309270.4149532711</v>
      </c>
      <c r="BN14" s="399">
        <f t="shared" si="18"/>
        <v>332922.63713551406</v>
      </c>
      <c r="BO14" s="399">
        <f t="shared" si="19"/>
        <v>356000.17832242989</v>
      </c>
      <c r="BP14" s="399">
        <f t="shared" si="20"/>
        <v>385409.68317757011</v>
      </c>
      <c r="BQ14" s="400">
        <f t="shared" si="21"/>
        <v>416202.47108411213</v>
      </c>
      <c r="BR14" s="429">
        <v>0</v>
      </c>
      <c r="BS14" s="430">
        <f t="shared" si="24"/>
        <v>17210.573158878484</v>
      </c>
      <c r="BT14" s="430">
        <f t="shared" si="22"/>
        <v>35318.87865420559</v>
      </c>
      <c r="BU14" s="430">
        <f t="shared" si="22"/>
        <v>55869.781289719598</v>
      </c>
      <c r="BV14" s="430">
        <f t="shared" si="22"/>
        <v>80580.012224298989</v>
      </c>
      <c r="BW14" s="430">
        <f t="shared" si="22"/>
        <v>101596.87581308416</v>
      </c>
      <c r="BX14" s="430">
        <f t="shared" si="22"/>
        <v>125249.09799532712</v>
      </c>
      <c r="BY14" s="430">
        <f t="shared" si="22"/>
        <v>148326.63918224294</v>
      </c>
      <c r="BZ14" s="430">
        <f t="shared" si="22"/>
        <v>177736.14403738317</v>
      </c>
      <c r="CA14" s="430">
        <f t="shared" si="22"/>
        <v>208528.93194392518</v>
      </c>
      <c r="CB14" s="429">
        <v>0</v>
      </c>
      <c r="CC14" s="430">
        <v>0</v>
      </c>
      <c r="CD14" s="430">
        <v>0</v>
      </c>
      <c r="CE14" s="430">
        <v>0</v>
      </c>
      <c r="CF14" s="430">
        <v>0</v>
      </c>
      <c r="CG14" s="430">
        <f t="shared" si="25"/>
        <v>21016.863588785171</v>
      </c>
      <c r="CH14" s="430">
        <f t="shared" si="23"/>
        <v>44669.085771028127</v>
      </c>
      <c r="CI14" s="430">
        <f t="shared" si="23"/>
        <v>67746.626957943954</v>
      </c>
      <c r="CJ14" s="430">
        <f t="shared" si="23"/>
        <v>97156.131813084183</v>
      </c>
      <c r="CK14" s="431">
        <f t="shared" si="23"/>
        <v>127948.9197196262</v>
      </c>
      <c r="CL14" s="390">
        <v>0.374</v>
      </c>
      <c r="CM14" s="391">
        <v>0.37</v>
      </c>
      <c r="CN14" s="391">
        <v>0.36699999999999999</v>
      </c>
      <c r="CO14" s="391">
        <v>0.36399999999999999</v>
      </c>
      <c r="CP14" s="391">
        <v>0.36099999999999999</v>
      </c>
      <c r="CQ14" s="391">
        <v>0.35799999999999998</v>
      </c>
      <c r="CR14" s="391">
        <v>0.35499999999999998</v>
      </c>
      <c r="CS14" s="391">
        <v>0.35099999999999998</v>
      </c>
      <c r="CT14" s="391">
        <v>0.34699999999999998</v>
      </c>
      <c r="CU14" s="392">
        <v>0.34300000000000003</v>
      </c>
      <c r="CV14" s="390">
        <v>0.28299999999999997</v>
      </c>
      <c r="CW14" s="391">
        <v>0.29699999999999999</v>
      </c>
      <c r="CX14" s="391">
        <v>0.309</v>
      </c>
      <c r="CY14" s="391">
        <v>0.32300000000000001</v>
      </c>
      <c r="CZ14" s="391">
        <v>0.33600000000000002</v>
      </c>
      <c r="DA14" s="391">
        <v>0.34899999999999998</v>
      </c>
      <c r="DB14" s="391">
        <v>0.36</v>
      </c>
      <c r="DC14" s="391">
        <v>0.372</v>
      </c>
      <c r="DD14" s="391">
        <v>0.38800000000000001</v>
      </c>
      <c r="DE14" s="392">
        <v>0.40200000000000002</v>
      </c>
      <c r="DF14" s="401"/>
      <c r="DG14" s="401">
        <v>1049341.8705999991</v>
      </c>
      <c r="DH14" s="401">
        <v>1073796.4784000006</v>
      </c>
      <c r="DI14" s="401">
        <v>1098512.2609999997</v>
      </c>
      <c r="DJ14" s="401">
        <v>1123354.7867999999</v>
      </c>
      <c r="DK14" s="401">
        <v>1148180.6034000004</v>
      </c>
      <c r="DL14" s="401">
        <v>1173011.2762000007</v>
      </c>
      <c r="DM14" s="401">
        <v>1198042.8547999999</v>
      </c>
      <c r="DN14" s="401">
        <v>1223527.7411000002</v>
      </c>
      <c r="DO14" s="401">
        <v>1249574.6648000006</v>
      </c>
      <c r="DP14" s="402"/>
      <c r="DQ14" s="402"/>
      <c r="DR14" s="402"/>
      <c r="DS14" s="402"/>
      <c r="DT14" s="402"/>
      <c r="DU14" s="402"/>
      <c r="DV14" s="402"/>
      <c r="DW14" s="402"/>
      <c r="DX14" s="402"/>
      <c r="DY14"/>
      <c r="DZ14"/>
      <c r="EA14"/>
      <c r="EB14"/>
      <c r="EC14"/>
      <c r="ED14"/>
      <c r="EE14"/>
      <c r="EF14"/>
      <c r="EG14"/>
      <c r="EH14" s="403">
        <f t="shared" si="26"/>
        <v>75948.945810134013</v>
      </c>
      <c r="EI14" s="404">
        <v>82243.078869245859</v>
      </c>
      <c r="EJ14" s="404">
        <v>88865.524456064537</v>
      </c>
      <c r="EK14" s="404">
        <v>96381.259956485621</v>
      </c>
      <c r="EL14" s="404">
        <v>105418.11654387886</v>
      </c>
      <c r="EM14" s="404">
        <v>113104.26009597642</v>
      </c>
      <c r="EN14" s="404">
        <v>121754.18896147244</v>
      </c>
      <c r="EO14" s="404">
        <v>130193.9494253853</v>
      </c>
      <c r="EP14" s="404">
        <v>140949.39231807919</v>
      </c>
      <c r="EQ14" s="405">
        <v>152210.72002376357</v>
      </c>
      <c r="ER14" s="404">
        <f t="shared" si="27"/>
        <v>27113.773654217843</v>
      </c>
      <c r="ES14" s="404">
        <v>29360.779156320768</v>
      </c>
      <c r="ET14" s="404">
        <v>31724.992230815034</v>
      </c>
      <c r="EU14" s="404">
        <v>34408.10980446537</v>
      </c>
      <c r="EV14" s="404">
        <v>37634.267606164751</v>
      </c>
      <c r="EW14" s="404">
        <v>40378.220854263578</v>
      </c>
      <c r="EX14" s="404">
        <v>43466.245459245649</v>
      </c>
      <c r="EY14" s="404">
        <v>46479.239944862544</v>
      </c>
      <c r="EZ14" s="404">
        <v>50318.933057554277</v>
      </c>
      <c r="FA14" s="404">
        <v>54339.22704848359</v>
      </c>
      <c r="FB14" s="403">
        <f t="shared" si="28"/>
        <v>203.55526467692977</v>
      </c>
      <c r="FC14" s="404">
        <v>220.42454320466902</v>
      </c>
      <c r="FD14" s="404">
        <v>238.17375156897489</v>
      </c>
      <c r="FE14" s="404">
        <v>258.31711909977059</v>
      </c>
      <c r="FF14" s="404">
        <v>282.53733328276763</v>
      </c>
      <c r="FG14" s="404">
        <v>303.13742151840097</v>
      </c>
      <c r="FH14" s="404">
        <v>326.32060781376254</v>
      </c>
      <c r="FI14" s="404">
        <v>348.94050933729949</v>
      </c>
      <c r="FJ14" s="404">
        <v>377.76680839104853</v>
      </c>
      <c r="FK14" s="405">
        <v>407.94895927270517</v>
      </c>
    </row>
    <row r="15" spans="1:167" ht="15" thickBot="1" x14ac:dyDescent="0.4">
      <c r="C15" s="120" t="s">
        <v>20</v>
      </c>
      <c r="AN15" s="219">
        <f t="shared" ref="AN15:AV15" si="30">BH15/AX15</f>
        <v>0.10550440197071043</v>
      </c>
      <c r="AO15" s="220">
        <f t="shared" si="30"/>
        <v>0.11243769169517789</v>
      </c>
      <c r="AP15" s="220">
        <f t="shared" si="30"/>
        <v>0.12152154655996222</v>
      </c>
      <c r="AQ15" s="220">
        <f t="shared" si="30"/>
        <v>0.13106579371523128</v>
      </c>
      <c r="AR15" s="220">
        <f t="shared" si="30"/>
        <v>0.14266487808160355</v>
      </c>
      <c r="AS15" s="220">
        <f t="shared" si="30"/>
        <v>0.15391226887822856</v>
      </c>
      <c r="AT15" s="220">
        <f t="shared" si="30"/>
        <v>0.16589696316234334</v>
      </c>
      <c r="AU15" s="220">
        <f t="shared" si="30"/>
        <v>0.17559099602374867</v>
      </c>
      <c r="AV15" s="220">
        <f t="shared" si="30"/>
        <v>0.18334382588826512</v>
      </c>
      <c r="AW15" s="221">
        <f>BQ15/BG15</f>
        <v>0.19134321428730006</v>
      </c>
      <c r="AX15" s="228">
        <f>SUM(AX6:AX14)</f>
        <v>25875165</v>
      </c>
      <c r="AY15" s="229">
        <f t="shared" ref="AY15:CK15" si="31">SUM(AY6:AY14)</f>
        <v>26659249.999999993</v>
      </c>
      <c r="AZ15" s="229">
        <f t="shared" si="31"/>
        <v>27482977</v>
      </c>
      <c r="BA15" s="229">
        <f t="shared" si="31"/>
        <v>28346261</v>
      </c>
      <c r="BB15" s="229">
        <f t="shared" si="31"/>
        <v>29249822</v>
      </c>
      <c r="BC15" s="229">
        <f t="shared" si="31"/>
        <v>30183435</v>
      </c>
      <c r="BD15" s="229">
        <f t="shared" si="31"/>
        <v>31162979</v>
      </c>
      <c r="BE15" s="229">
        <f t="shared" si="31"/>
        <v>32185687.999999996</v>
      </c>
      <c r="BF15" s="229">
        <f t="shared" si="31"/>
        <v>33248110</v>
      </c>
      <c r="BG15" s="229">
        <f t="shared" si="31"/>
        <v>34347424</v>
      </c>
      <c r="BH15" s="346">
        <f t="shared" si="31"/>
        <v>2729943.8092184574</v>
      </c>
      <c r="BI15" s="347">
        <f t="shared" si="31"/>
        <v>2997504.5323246703</v>
      </c>
      <c r="BJ15" s="347">
        <f t="shared" si="31"/>
        <v>3339773.8691118709</v>
      </c>
      <c r="BK15" s="347">
        <f t="shared" si="31"/>
        <v>3715225.1968241055</v>
      </c>
      <c r="BL15" s="347">
        <f t="shared" si="31"/>
        <v>4172922.2895386056</v>
      </c>
      <c r="BM15" s="347">
        <f t="shared" si="31"/>
        <v>4645600.9633885352</v>
      </c>
      <c r="BN15" s="347">
        <f t="shared" si="31"/>
        <v>5169843.5791918794</v>
      </c>
      <c r="BO15" s="347">
        <f t="shared" si="31"/>
        <v>5651517.0136296144</v>
      </c>
      <c r="BP15" s="347">
        <f t="shared" si="31"/>
        <v>6095835.6909538861</v>
      </c>
      <c r="BQ15" s="348">
        <f t="shared" si="31"/>
        <v>6572146.5106487526</v>
      </c>
      <c r="BR15" s="467">
        <f t="shared" si="31"/>
        <v>0</v>
      </c>
      <c r="BS15" s="467">
        <f t="shared" si="31"/>
        <v>267560.72310621239</v>
      </c>
      <c r="BT15" s="467">
        <f t="shared" si="31"/>
        <v>609830.05989341356</v>
      </c>
      <c r="BU15" s="467">
        <f t="shared" si="31"/>
        <v>985281.38760564767</v>
      </c>
      <c r="BV15" s="467">
        <f t="shared" si="31"/>
        <v>1442978.4803201477</v>
      </c>
      <c r="BW15" s="467">
        <f t="shared" si="31"/>
        <v>1915657.1541700773</v>
      </c>
      <c r="BX15" s="467">
        <f t="shared" si="31"/>
        <v>2439899.7699734219</v>
      </c>
      <c r="BY15" s="467">
        <f t="shared" si="31"/>
        <v>2921573.204411156</v>
      </c>
      <c r="BZ15" s="467">
        <f t="shared" si="31"/>
        <v>3365891.8817354278</v>
      </c>
      <c r="CA15" s="467">
        <f t="shared" si="31"/>
        <v>3842202.7014302947</v>
      </c>
      <c r="CB15" s="468">
        <f t="shared" si="31"/>
        <v>0</v>
      </c>
      <c r="CC15" s="469">
        <f t="shared" si="31"/>
        <v>0</v>
      </c>
      <c r="CD15" s="469">
        <f t="shared" si="31"/>
        <v>0</v>
      </c>
      <c r="CE15" s="469">
        <f t="shared" si="31"/>
        <v>0</v>
      </c>
      <c r="CF15" s="469">
        <f t="shared" si="31"/>
        <v>0</v>
      </c>
      <c r="CG15" s="469">
        <f t="shared" si="31"/>
        <v>472678.67384992947</v>
      </c>
      <c r="CH15" s="469">
        <f t="shared" si="31"/>
        <v>996921.28965327376</v>
      </c>
      <c r="CI15" s="469">
        <f t="shared" si="31"/>
        <v>1478594.7240910076</v>
      </c>
      <c r="CJ15" s="469">
        <f t="shared" si="31"/>
        <v>1922913.4014152805</v>
      </c>
      <c r="CK15" s="470">
        <f t="shared" si="31"/>
        <v>2399224.2211101465</v>
      </c>
      <c r="CL15" s="243"/>
      <c r="CM15" s="117"/>
      <c r="CN15" s="117"/>
      <c r="CO15" s="117"/>
      <c r="CP15" s="117"/>
      <c r="CQ15" s="117"/>
      <c r="CR15" s="117"/>
      <c r="CS15" s="117"/>
      <c r="CT15" s="117"/>
      <c r="CU15" s="247"/>
      <c r="CV15" s="251"/>
      <c r="CW15" s="119"/>
      <c r="CX15" s="119"/>
      <c r="CY15" s="119"/>
      <c r="CZ15" s="119"/>
      <c r="DA15" s="119"/>
      <c r="DB15" s="119"/>
      <c r="DC15" s="119"/>
      <c r="DD15" s="119"/>
      <c r="DE15" s="252"/>
      <c r="DF15" s="199"/>
      <c r="DG15" s="199"/>
      <c r="DH15" s="199"/>
      <c r="DI15" s="199"/>
      <c r="DJ15" s="199"/>
      <c r="DK15" s="199"/>
      <c r="DL15" s="199"/>
      <c r="DM15" s="199"/>
      <c r="DN15" s="199"/>
      <c r="DO15" s="199"/>
      <c r="DP15" s="199"/>
      <c r="DQ15" s="199"/>
      <c r="DR15" s="199"/>
      <c r="DS15" s="199"/>
      <c r="DT15" s="199"/>
      <c r="DU15" s="199"/>
      <c r="DV15" s="199"/>
      <c r="DW15" s="199"/>
      <c r="DX15" s="199"/>
      <c r="EH15" s="326">
        <f t="shared" ref="EH15:FJ15" si="32">SUM(EH6:EH14)</f>
        <v>984997.42119892687</v>
      </c>
      <c r="EI15" s="323">
        <f t="shared" si="32"/>
        <v>1082833.5911241171</v>
      </c>
      <c r="EJ15" s="323">
        <f t="shared" si="32"/>
        <v>1208189.6786683628</v>
      </c>
      <c r="EK15" s="323">
        <f t="shared" si="32"/>
        <v>1345235.4820063275</v>
      </c>
      <c r="EL15" s="323">
        <f t="shared" si="32"/>
        <v>1510334.9304071518</v>
      </c>
      <c r="EM15" s="323">
        <f t="shared" si="32"/>
        <v>1726676.7790194962</v>
      </c>
      <c r="EN15" s="323">
        <f t="shared" si="32"/>
        <v>1920182.809074949</v>
      </c>
      <c r="EO15" s="323">
        <f t="shared" si="32"/>
        <v>2097704.7128725047</v>
      </c>
      <c r="EP15" s="323">
        <f t="shared" si="32"/>
        <v>2261248.0825623767</v>
      </c>
      <c r="EQ15" s="327"/>
      <c r="ER15" s="52">
        <f t="shared" si="32"/>
        <v>351644.0793680168</v>
      </c>
      <c r="ES15" s="52">
        <f t="shared" si="32"/>
        <v>386571.59203130979</v>
      </c>
      <c r="ET15" s="52">
        <f t="shared" si="32"/>
        <v>431323.71528460557</v>
      </c>
      <c r="EU15" s="52">
        <f t="shared" si="32"/>
        <v>480249.06707625883</v>
      </c>
      <c r="EV15" s="52">
        <f t="shared" si="32"/>
        <v>539189.57015535305</v>
      </c>
      <c r="EW15" s="52">
        <f t="shared" si="32"/>
        <v>616423.61010995996</v>
      </c>
      <c r="EX15" s="52">
        <f t="shared" si="32"/>
        <v>685505.26283975667</v>
      </c>
      <c r="EY15" s="52">
        <f t="shared" si="32"/>
        <v>748880.58249548415</v>
      </c>
      <c r="EZ15" s="52">
        <f t="shared" si="32"/>
        <v>807265.5654747684</v>
      </c>
      <c r="FA15" s="52"/>
      <c r="FB15" s="201">
        <f t="shared" si="32"/>
        <v>3283.085778767419</v>
      </c>
      <c r="FC15" s="53">
        <f t="shared" si="32"/>
        <v>3593.5374568487146</v>
      </c>
      <c r="FD15" s="53">
        <f t="shared" si="32"/>
        <v>3995.3025056700876</v>
      </c>
      <c r="FE15" s="53">
        <f t="shared" si="32"/>
        <v>4424.0925086982934</v>
      </c>
      <c r="FF15" s="53">
        <f t="shared" si="32"/>
        <v>4965.6100661294768</v>
      </c>
      <c r="FG15" s="53">
        <f t="shared" si="32"/>
        <v>5696.5309450558798</v>
      </c>
      <c r="FH15" s="53">
        <f t="shared" si="32"/>
        <v>6340.3557457408242</v>
      </c>
      <c r="FI15" s="53">
        <f t="shared" si="32"/>
        <v>6947.2987389601722</v>
      </c>
      <c r="FJ15" s="53">
        <f t="shared" si="32"/>
        <v>7510.6916926389731</v>
      </c>
      <c r="FK15" s="465"/>
    </row>
    <row r="16" spans="1:167" x14ac:dyDescent="0.35">
      <c r="EH16" s="407"/>
      <c r="EI16" s="1"/>
      <c r="EJ16" s="1"/>
      <c r="EK16" s="1"/>
      <c r="EL16" s="1"/>
      <c r="EM16" s="1"/>
      <c r="EN16" s="1"/>
      <c r="EO16" s="1"/>
      <c r="EP16" s="1"/>
      <c r="EQ16" s="408"/>
      <c r="FB16" s="407"/>
      <c r="FC16" s="1"/>
      <c r="FD16" s="1"/>
      <c r="FE16" s="1"/>
      <c r="FF16" s="1"/>
      <c r="FG16" s="1"/>
      <c r="FH16" s="1"/>
      <c r="FI16" s="1"/>
      <c r="FK16" s="408"/>
    </row>
    <row r="17" spans="40:167" x14ac:dyDescent="0.35">
      <c r="AN17"/>
      <c r="AO17"/>
      <c r="BG17" s="131" t="s">
        <v>7</v>
      </c>
      <c r="BH17" s="341">
        <f>ROUNDDOWN(BH6, -3)</f>
        <v>156000</v>
      </c>
      <c r="BI17" s="341">
        <f t="shared" ref="BI17:BQ17" si="33">ROUNDDOWN(BI6, -3)</f>
        <v>171000</v>
      </c>
      <c r="BJ17" s="341">
        <f t="shared" si="33"/>
        <v>194000</v>
      </c>
      <c r="BK17" s="341">
        <f t="shared" si="33"/>
        <v>218000</v>
      </c>
      <c r="BL17" s="341">
        <f t="shared" si="33"/>
        <v>241000</v>
      </c>
      <c r="BM17" s="341">
        <f t="shared" si="33"/>
        <v>267000</v>
      </c>
      <c r="BN17" s="341">
        <f t="shared" si="33"/>
        <v>290000</v>
      </c>
      <c r="BO17" s="341">
        <f t="shared" si="33"/>
        <v>322000</v>
      </c>
      <c r="BP17" s="341">
        <f t="shared" si="33"/>
        <v>351000</v>
      </c>
      <c r="BQ17" s="341">
        <f t="shared" si="33"/>
        <v>380000</v>
      </c>
      <c r="BR17" s="341"/>
      <c r="BS17" s="341"/>
      <c r="EG17" s="131" t="s">
        <v>7</v>
      </c>
      <c r="EH17" s="200">
        <f>ROUNDDOWN(EH6, -3)</f>
        <v>58000</v>
      </c>
      <c r="EI17" s="47">
        <f t="shared" ref="EI17:EP25" si="34">ROUNDDOWN(EI6, -3)</f>
        <v>63000</v>
      </c>
      <c r="EJ17" s="47">
        <f t="shared" si="34"/>
        <v>72000</v>
      </c>
      <c r="EK17" s="47">
        <f t="shared" si="34"/>
        <v>81000</v>
      </c>
      <c r="EL17" s="47">
        <f t="shared" si="34"/>
        <v>89000</v>
      </c>
      <c r="EM17" s="47">
        <f t="shared" si="34"/>
        <v>99000</v>
      </c>
      <c r="EN17" s="47">
        <f t="shared" si="34"/>
        <v>108000</v>
      </c>
      <c r="EO17" s="47">
        <f t="shared" si="34"/>
        <v>119000</v>
      </c>
      <c r="EP17" s="47">
        <f t="shared" si="34"/>
        <v>130000</v>
      </c>
      <c r="EQ17" s="463">
        <f t="shared" ref="EQ17" si="35">ROUNDDOWN(EQ6, -3)</f>
        <v>141000</v>
      </c>
      <c r="ER17" s="47">
        <f>IF(ER6&lt;10000,ROUNDDOWN(ER6,-2),ROUNDDOWN(ER6,-3))</f>
        <v>20000</v>
      </c>
      <c r="ES17" s="47">
        <f t="shared" ref="ES17:FA17" si="36">IF(ES6&lt;10000,ROUNDDOWN(ES6,-2),ROUNDDOWN(ES6,-3))</f>
        <v>22000</v>
      </c>
      <c r="ET17" s="47">
        <f t="shared" si="36"/>
        <v>25000</v>
      </c>
      <c r="EU17" s="47">
        <f t="shared" si="36"/>
        <v>28000</v>
      </c>
      <c r="EV17" s="47">
        <f t="shared" si="36"/>
        <v>32000</v>
      </c>
      <c r="EW17" s="47">
        <f t="shared" si="36"/>
        <v>35000</v>
      </c>
      <c r="EX17" s="47">
        <f t="shared" si="36"/>
        <v>38000</v>
      </c>
      <c r="EY17" s="47">
        <f t="shared" si="36"/>
        <v>42000</v>
      </c>
      <c r="EZ17" s="47">
        <f t="shared" si="36"/>
        <v>46000</v>
      </c>
      <c r="FA17" s="47">
        <f t="shared" si="36"/>
        <v>50000</v>
      </c>
      <c r="FB17" s="200">
        <f>IF(FB6&lt;1000,ROUNDDOWN(FB6,-1),ROUNDDOWN(FB6,-2))</f>
        <v>150</v>
      </c>
      <c r="FC17" s="47">
        <f t="shared" ref="FC17:FK17" si="37">IF(FC6&lt;1000,ROUNDDOWN(FC6,-1),ROUNDDOWN(FC6,-2))</f>
        <v>170</v>
      </c>
      <c r="FD17" s="47">
        <f t="shared" si="37"/>
        <v>190</v>
      </c>
      <c r="FE17" s="47">
        <f t="shared" si="37"/>
        <v>220</v>
      </c>
      <c r="FF17" s="47">
        <f t="shared" si="37"/>
        <v>240</v>
      </c>
      <c r="FG17" s="47">
        <f t="shared" si="37"/>
        <v>270</v>
      </c>
      <c r="FH17" s="47">
        <f t="shared" si="37"/>
        <v>290</v>
      </c>
      <c r="FI17" s="47">
        <f t="shared" si="37"/>
        <v>320</v>
      </c>
      <c r="FJ17" s="47">
        <f t="shared" si="37"/>
        <v>350</v>
      </c>
      <c r="FK17" s="463">
        <f t="shared" si="37"/>
        <v>380</v>
      </c>
    </row>
    <row r="18" spans="40:167" x14ac:dyDescent="0.35">
      <c r="AN18"/>
      <c r="AO18"/>
      <c r="BG18" s="131" t="s">
        <v>9</v>
      </c>
      <c r="BH18" s="341">
        <f t="shared" ref="BH18:BQ18" si="38">ROUNDDOWN(BH7, -3)</f>
        <v>564000</v>
      </c>
      <c r="BI18" s="341">
        <f t="shared" si="38"/>
        <v>626000</v>
      </c>
      <c r="BJ18" s="341">
        <f t="shared" si="38"/>
        <v>699000</v>
      </c>
      <c r="BK18" s="341">
        <f t="shared" si="38"/>
        <v>784000</v>
      </c>
      <c r="BL18" s="341">
        <f t="shared" si="38"/>
        <v>881000</v>
      </c>
      <c r="BM18" s="341">
        <f t="shared" si="38"/>
        <v>991000</v>
      </c>
      <c r="BN18" s="341">
        <f t="shared" si="38"/>
        <v>1119000</v>
      </c>
      <c r="BO18" s="341">
        <f t="shared" si="38"/>
        <v>1208000</v>
      </c>
      <c r="BP18" s="341">
        <f t="shared" si="38"/>
        <v>1269000</v>
      </c>
      <c r="BQ18" s="341">
        <f t="shared" si="38"/>
        <v>1350000</v>
      </c>
      <c r="BR18" s="341"/>
      <c r="BS18" s="341"/>
      <c r="EG18" s="131" t="s">
        <v>9</v>
      </c>
      <c r="EH18" s="200">
        <f t="shared" ref="EH18:EP25" si="39">ROUNDDOWN(EH7, -3)</f>
        <v>217000</v>
      </c>
      <c r="EI18" s="47">
        <f t="shared" si="39"/>
        <v>240000</v>
      </c>
      <c r="EJ18" s="47">
        <f t="shared" si="39"/>
        <v>269000</v>
      </c>
      <c r="EK18" s="47">
        <f t="shared" si="39"/>
        <v>301000</v>
      </c>
      <c r="EL18" s="47">
        <f t="shared" si="39"/>
        <v>338000</v>
      </c>
      <c r="EM18" s="47">
        <f t="shared" si="39"/>
        <v>381000</v>
      </c>
      <c r="EN18" s="47">
        <f t="shared" si="39"/>
        <v>430000</v>
      </c>
      <c r="EO18" s="47">
        <f t="shared" si="39"/>
        <v>464000</v>
      </c>
      <c r="EP18" s="47">
        <f t="shared" si="39"/>
        <v>488000</v>
      </c>
      <c r="EQ18" s="463">
        <f t="shared" ref="EQ18" si="40">ROUNDDOWN(EQ7, -3)</f>
        <v>519000</v>
      </c>
      <c r="ER18" s="47">
        <f t="shared" ref="ER18:FA18" si="41">IF(ER7&lt;10000,ROUNDDOWN(ER7,-2),ROUNDDOWN(ER7,-3))</f>
        <v>77000</v>
      </c>
      <c r="ES18" s="47">
        <f t="shared" si="41"/>
        <v>85000</v>
      </c>
      <c r="ET18" s="47">
        <f t="shared" si="41"/>
        <v>96000</v>
      </c>
      <c r="EU18" s="47">
        <f t="shared" si="41"/>
        <v>107000</v>
      </c>
      <c r="EV18" s="47">
        <f t="shared" si="41"/>
        <v>120000</v>
      </c>
      <c r="EW18" s="47">
        <f t="shared" si="41"/>
        <v>136000</v>
      </c>
      <c r="EX18" s="47">
        <f t="shared" si="41"/>
        <v>153000</v>
      </c>
      <c r="EY18" s="47">
        <f t="shared" si="41"/>
        <v>165000</v>
      </c>
      <c r="EZ18" s="47">
        <f t="shared" si="41"/>
        <v>174000</v>
      </c>
      <c r="FA18" s="47">
        <f t="shared" si="41"/>
        <v>185000</v>
      </c>
      <c r="FB18" s="200">
        <f t="shared" ref="FB18:FB25" si="42">IF(FB7&lt;1000,ROUNDDOWN(FB7,-1),ROUNDDOWN(FB7,-2))</f>
        <v>510</v>
      </c>
      <c r="FC18" s="47">
        <f t="shared" ref="FC18:FK18" si="43">IF(FC7&lt;1000,ROUNDDOWN(FC7,-1),ROUNDDOWN(FC7,-2))</f>
        <v>560</v>
      </c>
      <c r="FD18" s="47">
        <f t="shared" si="43"/>
        <v>630</v>
      </c>
      <c r="FE18" s="47">
        <f t="shared" si="43"/>
        <v>710</v>
      </c>
      <c r="FF18" s="47">
        <f t="shared" si="43"/>
        <v>800</v>
      </c>
      <c r="FG18" s="47">
        <f t="shared" si="43"/>
        <v>900</v>
      </c>
      <c r="FH18" s="47">
        <f t="shared" si="43"/>
        <v>1000</v>
      </c>
      <c r="FI18" s="47">
        <f t="shared" si="43"/>
        <v>1000</v>
      </c>
      <c r="FJ18" s="47">
        <f t="shared" si="43"/>
        <v>1100</v>
      </c>
      <c r="FK18" s="463">
        <f t="shared" si="43"/>
        <v>1200</v>
      </c>
    </row>
    <row r="19" spans="40:167" x14ac:dyDescent="0.35">
      <c r="AO19" s="338"/>
      <c r="AP19" s="338"/>
      <c r="AQ19" s="338"/>
      <c r="AR19" s="338"/>
      <c r="AS19" s="338"/>
      <c r="AT19" s="338"/>
      <c r="AU19" s="338"/>
      <c r="AV19" s="338"/>
      <c r="AW19" s="338"/>
      <c r="BG19" s="131" t="s">
        <v>10</v>
      </c>
      <c r="BH19" s="341">
        <f t="shared" ref="BH19:BQ19" si="44">ROUNDDOWN(BH8, -3)</f>
        <v>632000</v>
      </c>
      <c r="BI19" s="341">
        <f t="shared" si="44"/>
        <v>678000</v>
      </c>
      <c r="BJ19" s="341">
        <f t="shared" si="44"/>
        <v>738000</v>
      </c>
      <c r="BK19" s="341">
        <f t="shared" si="44"/>
        <v>778000</v>
      </c>
      <c r="BL19" s="341">
        <f t="shared" si="44"/>
        <v>862000</v>
      </c>
      <c r="BM19" s="341">
        <f t="shared" si="44"/>
        <v>980000</v>
      </c>
      <c r="BN19" s="341">
        <f t="shared" si="44"/>
        <v>1117000</v>
      </c>
      <c r="BO19" s="341">
        <f t="shared" si="44"/>
        <v>1229000</v>
      </c>
      <c r="BP19" s="341">
        <f t="shared" si="44"/>
        <v>1334000</v>
      </c>
      <c r="BQ19" s="341">
        <f t="shared" si="44"/>
        <v>1443000</v>
      </c>
      <c r="BR19" s="341"/>
      <c r="BS19" s="341"/>
      <c r="EG19" s="131" t="s">
        <v>10</v>
      </c>
      <c r="EH19" s="200">
        <f t="shared" si="39"/>
        <v>224000</v>
      </c>
      <c r="EI19" s="47">
        <f t="shared" si="34"/>
        <v>240000</v>
      </c>
      <c r="EJ19" s="47">
        <f t="shared" si="34"/>
        <v>262000</v>
      </c>
      <c r="EK19" s="47">
        <f t="shared" si="34"/>
        <v>276000</v>
      </c>
      <c r="EL19" s="47">
        <f t="shared" si="34"/>
        <v>306000</v>
      </c>
      <c r="EM19" s="47">
        <f t="shared" si="34"/>
        <v>348000</v>
      </c>
      <c r="EN19" s="47">
        <f t="shared" si="34"/>
        <v>396000</v>
      </c>
      <c r="EO19" s="47">
        <f t="shared" si="34"/>
        <v>436000</v>
      </c>
      <c r="EP19" s="47">
        <f t="shared" si="34"/>
        <v>473000</v>
      </c>
      <c r="EQ19" s="463">
        <f t="shared" ref="EQ19" si="45">ROUNDDOWN(EQ8, -3)</f>
        <v>512000</v>
      </c>
      <c r="ER19" s="47">
        <f t="shared" ref="ER19:FA19" si="46">IF(ER8&lt;10000,ROUNDDOWN(ER8,-2),ROUNDDOWN(ER8,-3))</f>
        <v>80000</v>
      </c>
      <c r="ES19" s="47">
        <f t="shared" si="46"/>
        <v>85000</v>
      </c>
      <c r="ET19" s="47">
        <f t="shared" si="46"/>
        <v>93000</v>
      </c>
      <c r="EU19" s="47">
        <f t="shared" si="46"/>
        <v>98000</v>
      </c>
      <c r="EV19" s="47">
        <f t="shared" si="46"/>
        <v>109000</v>
      </c>
      <c r="EW19" s="47">
        <f t="shared" si="46"/>
        <v>124000</v>
      </c>
      <c r="EX19" s="47">
        <f t="shared" si="46"/>
        <v>141000</v>
      </c>
      <c r="EY19" s="47">
        <f t="shared" si="46"/>
        <v>155000</v>
      </c>
      <c r="EZ19" s="47">
        <f t="shared" si="46"/>
        <v>169000</v>
      </c>
      <c r="FA19" s="47">
        <f t="shared" si="46"/>
        <v>183000</v>
      </c>
      <c r="FB19" s="200">
        <f t="shared" si="42"/>
        <v>950</v>
      </c>
      <c r="FC19" s="47">
        <f t="shared" ref="FC19:FK19" si="47">IF(FC8&lt;1000,ROUNDDOWN(FC8,-1),ROUNDDOWN(FC8,-2))</f>
        <v>1000</v>
      </c>
      <c r="FD19" s="47">
        <f t="shared" si="47"/>
        <v>1100</v>
      </c>
      <c r="FE19" s="47">
        <f t="shared" si="47"/>
        <v>1100</v>
      </c>
      <c r="FF19" s="47">
        <f t="shared" si="47"/>
        <v>1300</v>
      </c>
      <c r="FG19" s="47">
        <f t="shared" si="47"/>
        <v>1400</v>
      </c>
      <c r="FH19" s="47">
        <f t="shared" si="47"/>
        <v>1600</v>
      </c>
      <c r="FI19" s="47">
        <f t="shared" si="47"/>
        <v>1800</v>
      </c>
      <c r="FJ19" s="47">
        <f t="shared" si="47"/>
        <v>2000</v>
      </c>
      <c r="FK19" s="463">
        <f t="shared" si="47"/>
        <v>2100</v>
      </c>
    </row>
    <row r="20" spans="40:167" x14ac:dyDescent="0.35">
      <c r="AN20"/>
      <c r="AO20"/>
      <c r="BG20" s="131" t="s">
        <v>11</v>
      </c>
      <c r="BH20" s="341">
        <f t="shared" ref="BH20:BQ20" si="48">ROUNDDOWN(BH9, -3)</f>
        <v>132000</v>
      </c>
      <c r="BI20" s="341">
        <f t="shared" si="48"/>
        <v>141000</v>
      </c>
      <c r="BJ20" s="341">
        <f t="shared" si="48"/>
        <v>158000</v>
      </c>
      <c r="BK20" s="341">
        <f t="shared" si="48"/>
        <v>183000</v>
      </c>
      <c r="BL20" s="341">
        <f t="shared" si="48"/>
        <v>211000</v>
      </c>
      <c r="BM20" s="341">
        <f t="shared" si="48"/>
        <v>249000</v>
      </c>
      <c r="BN20" s="341">
        <f t="shared" si="48"/>
        <v>291000</v>
      </c>
      <c r="BO20" s="341">
        <f t="shared" si="48"/>
        <v>337000</v>
      </c>
      <c r="BP20" s="341">
        <f t="shared" si="48"/>
        <v>378000</v>
      </c>
      <c r="BQ20" s="341">
        <f t="shared" si="48"/>
        <v>419000</v>
      </c>
      <c r="BR20" s="341"/>
      <c r="BS20" s="341"/>
      <c r="EG20" s="131" t="s">
        <v>11</v>
      </c>
      <c r="EH20" s="200">
        <f t="shared" si="39"/>
        <v>42000</v>
      </c>
      <c r="EI20" s="47">
        <f t="shared" si="34"/>
        <v>45000</v>
      </c>
      <c r="EJ20" s="47">
        <f t="shared" si="34"/>
        <v>50000</v>
      </c>
      <c r="EK20" s="47">
        <f t="shared" si="34"/>
        <v>58000</v>
      </c>
      <c r="EL20" s="47">
        <f t="shared" si="34"/>
        <v>67000</v>
      </c>
      <c r="EM20" s="47">
        <f t="shared" si="34"/>
        <v>79000</v>
      </c>
      <c r="EN20" s="47">
        <f t="shared" si="34"/>
        <v>93000</v>
      </c>
      <c r="EO20" s="47">
        <f t="shared" si="34"/>
        <v>107000</v>
      </c>
      <c r="EP20" s="47">
        <f t="shared" si="34"/>
        <v>120000</v>
      </c>
      <c r="EQ20" s="463">
        <f t="shared" ref="EQ20" si="49">ROUNDDOWN(EQ9, -3)</f>
        <v>133000</v>
      </c>
      <c r="ER20" s="47">
        <f t="shared" ref="ER20:FA20" si="50">IF(ER9&lt;10000,ROUNDDOWN(ER9,-2),ROUNDDOWN(ER9,-3))</f>
        <v>15000</v>
      </c>
      <c r="ES20" s="47">
        <f t="shared" si="50"/>
        <v>16000</v>
      </c>
      <c r="ET20" s="47">
        <f t="shared" si="50"/>
        <v>18000</v>
      </c>
      <c r="EU20" s="47">
        <f t="shared" si="50"/>
        <v>20000</v>
      </c>
      <c r="EV20" s="47">
        <f t="shared" si="50"/>
        <v>24000</v>
      </c>
      <c r="EW20" s="47">
        <f t="shared" si="50"/>
        <v>28000</v>
      </c>
      <c r="EX20" s="47">
        <f t="shared" si="50"/>
        <v>33000</v>
      </c>
      <c r="EY20" s="47">
        <f t="shared" si="50"/>
        <v>38000</v>
      </c>
      <c r="EZ20" s="47">
        <f t="shared" si="50"/>
        <v>43000</v>
      </c>
      <c r="FA20" s="47">
        <f t="shared" si="50"/>
        <v>47000</v>
      </c>
      <c r="FB20" s="200">
        <f t="shared" si="42"/>
        <v>170</v>
      </c>
      <c r="FC20" s="47">
        <f t="shared" ref="FC20:FK20" si="51">IF(FC9&lt;1000,ROUNDDOWN(FC9,-1),ROUNDDOWN(FC9,-2))</f>
        <v>180</v>
      </c>
      <c r="FD20" s="47">
        <f t="shared" si="51"/>
        <v>200</v>
      </c>
      <c r="FE20" s="47">
        <f t="shared" si="51"/>
        <v>240</v>
      </c>
      <c r="FF20" s="47">
        <f t="shared" si="51"/>
        <v>280</v>
      </c>
      <c r="FG20" s="47">
        <f t="shared" si="51"/>
        <v>320</v>
      </c>
      <c r="FH20" s="47">
        <f t="shared" si="51"/>
        <v>380</v>
      </c>
      <c r="FI20" s="47">
        <f t="shared" si="51"/>
        <v>440</v>
      </c>
      <c r="FJ20" s="47">
        <f t="shared" si="51"/>
        <v>500</v>
      </c>
      <c r="FK20" s="463">
        <f t="shared" si="51"/>
        <v>550</v>
      </c>
    </row>
    <row r="21" spans="40:167" x14ac:dyDescent="0.35">
      <c r="AN21"/>
      <c r="AO21"/>
      <c r="BG21" s="131" t="s">
        <v>13</v>
      </c>
      <c r="BH21" s="341">
        <f t="shared" ref="BH21:BQ21" si="52">ROUNDDOWN(BH10, -3)</f>
        <v>304000</v>
      </c>
      <c r="BI21" s="341">
        <f t="shared" si="52"/>
        <v>336000</v>
      </c>
      <c r="BJ21" s="341">
        <f t="shared" si="52"/>
        <v>383000</v>
      </c>
      <c r="BK21" s="341">
        <f t="shared" si="52"/>
        <v>433000</v>
      </c>
      <c r="BL21" s="341">
        <f t="shared" si="52"/>
        <v>490000</v>
      </c>
      <c r="BM21" s="341">
        <f t="shared" si="52"/>
        <v>536000</v>
      </c>
      <c r="BN21" s="341">
        <f t="shared" si="52"/>
        <v>581000</v>
      </c>
      <c r="BO21" s="341">
        <f t="shared" si="52"/>
        <v>636000</v>
      </c>
      <c r="BP21" s="341">
        <f t="shared" si="52"/>
        <v>687000</v>
      </c>
      <c r="BQ21" s="341">
        <f t="shared" si="52"/>
        <v>741000</v>
      </c>
      <c r="BR21" s="341"/>
      <c r="BS21" s="341"/>
      <c r="EG21" s="131" t="s">
        <v>13</v>
      </c>
      <c r="EH21" s="200">
        <f t="shared" si="39"/>
        <v>119000</v>
      </c>
      <c r="EI21" s="47">
        <f t="shared" si="34"/>
        <v>131000</v>
      </c>
      <c r="EJ21" s="47">
        <f t="shared" si="34"/>
        <v>150000</v>
      </c>
      <c r="EK21" s="47">
        <f t="shared" si="34"/>
        <v>169000</v>
      </c>
      <c r="EL21" s="47">
        <f t="shared" si="34"/>
        <v>191000</v>
      </c>
      <c r="EM21" s="47">
        <f t="shared" si="34"/>
        <v>209000</v>
      </c>
      <c r="EN21" s="47">
        <f t="shared" si="34"/>
        <v>227000</v>
      </c>
      <c r="EO21" s="47">
        <f t="shared" si="34"/>
        <v>249000</v>
      </c>
      <c r="EP21" s="47">
        <f t="shared" si="34"/>
        <v>268000</v>
      </c>
      <c r="EQ21" s="463">
        <f t="shared" ref="EQ21" si="53">ROUNDDOWN(EQ10, -3)</f>
        <v>290000</v>
      </c>
      <c r="ER21" s="47">
        <f t="shared" ref="ER21:FA21" si="54">IF(ER10&lt;10000,ROUNDDOWN(ER10,-2),ROUNDDOWN(ER10,-3))</f>
        <v>42000</v>
      </c>
      <c r="ES21" s="47">
        <f t="shared" si="54"/>
        <v>46000</v>
      </c>
      <c r="ET21" s="47">
        <f t="shared" si="54"/>
        <v>53000</v>
      </c>
      <c r="EU21" s="47">
        <f t="shared" si="54"/>
        <v>60000</v>
      </c>
      <c r="EV21" s="47">
        <f t="shared" si="54"/>
        <v>68000</v>
      </c>
      <c r="EW21" s="47">
        <f t="shared" si="54"/>
        <v>74000</v>
      </c>
      <c r="EX21" s="47">
        <f t="shared" si="54"/>
        <v>81000</v>
      </c>
      <c r="EY21" s="47">
        <f t="shared" si="54"/>
        <v>88000</v>
      </c>
      <c r="EZ21" s="47">
        <f t="shared" si="54"/>
        <v>96000</v>
      </c>
      <c r="FA21" s="47">
        <f t="shared" si="54"/>
        <v>103000</v>
      </c>
      <c r="FB21" s="200">
        <f t="shared" si="42"/>
        <v>480</v>
      </c>
      <c r="FC21" s="47">
        <f t="shared" ref="FC21:FK21" si="55">IF(FC10&lt;1000,ROUNDDOWN(FC10,-1),ROUNDDOWN(FC10,-2))</f>
        <v>530</v>
      </c>
      <c r="FD21" s="47">
        <f t="shared" si="55"/>
        <v>600</v>
      </c>
      <c r="FE21" s="47">
        <f t="shared" si="55"/>
        <v>680</v>
      </c>
      <c r="FF21" s="47">
        <f t="shared" si="55"/>
        <v>770</v>
      </c>
      <c r="FG21" s="47">
        <f t="shared" si="55"/>
        <v>840</v>
      </c>
      <c r="FH21" s="47">
        <f t="shared" si="55"/>
        <v>920</v>
      </c>
      <c r="FI21" s="47">
        <f t="shared" si="55"/>
        <v>1000</v>
      </c>
      <c r="FJ21" s="47">
        <f t="shared" si="55"/>
        <v>1000</v>
      </c>
      <c r="FK21" s="463">
        <f t="shared" si="55"/>
        <v>1100</v>
      </c>
    </row>
    <row r="22" spans="40:167" x14ac:dyDescent="0.35">
      <c r="AN22"/>
      <c r="AO22"/>
      <c r="BG22" s="131" t="s">
        <v>14</v>
      </c>
      <c r="BH22" s="341">
        <f t="shared" ref="BH22:BQ22" si="56">ROUNDDOWN(BH11, -3)</f>
        <v>63000</v>
      </c>
      <c r="BI22" s="341">
        <f t="shared" si="56"/>
        <v>70000</v>
      </c>
      <c r="BJ22" s="341">
        <f t="shared" si="56"/>
        <v>77000</v>
      </c>
      <c r="BK22" s="341">
        <f t="shared" si="56"/>
        <v>86000</v>
      </c>
      <c r="BL22" s="341">
        <f t="shared" si="56"/>
        <v>95000</v>
      </c>
      <c r="BM22" s="341">
        <f t="shared" si="56"/>
        <v>103000</v>
      </c>
      <c r="BN22" s="341">
        <f t="shared" si="56"/>
        <v>112000</v>
      </c>
      <c r="BO22" s="341">
        <f t="shared" si="56"/>
        <v>121000</v>
      </c>
      <c r="BP22" s="341">
        <f t="shared" si="56"/>
        <v>131000</v>
      </c>
      <c r="BQ22" s="341">
        <f t="shared" si="56"/>
        <v>141000</v>
      </c>
      <c r="BR22" s="341"/>
      <c r="BS22" s="341"/>
      <c r="EG22" s="131" t="s">
        <v>14</v>
      </c>
      <c r="EH22" s="200">
        <f t="shared" si="39"/>
        <v>22000</v>
      </c>
      <c r="EI22" s="47">
        <f t="shared" si="34"/>
        <v>25000</v>
      </c>
      <c r="EJ22" s="47">
        <f t="shared" si="34"/>
        <v>28000</v>
      </c>
      <c r="EK22" s="47">
        <f t="shared" si="34"/>
        <v>31000</v>
      </c>
      <c r="EL22" s="47">
        <f t="shared" si="34"/>
        <v>34000</v>
      </c>
      <c r="EM22" s="47">
        <f t="shared" si="34"/>
        <v>37000</v>
      </c>
      <c r="EN22" s="47">
        <f t="shared" si="34"/>
        <v>40000</v>
      </c>
      <c r="EO22" s="47">
        <f t="shared" si="34"/>
        <v>44000</v>
      </c>
      <c r="EP22" s="47">
        <f t="shared" si="34"/>
        <v>47000</v>
      </c>
      <c r="EQ22" s="463">
        <f t="shared" ref="EQ22" si="57">ROUNDDOWN(EQ11, -3)</f>
        <v>51000</v>
      </c>
      <c r="ER22" s="47">
        <f t="shared" ref="ER22:FA22" si="58">IF(ER11&lt;10000,ROUNDDOWN(ER11,-2),ROUNDDOWN(ER11,-3))</f>
        <v>8100</v>
      </c>
      <c r="ES22" s="47">
        <f t="shared" si="58"/>
        <v>9000</v>
      </c>
      <c r="ET22" s="47">
        <f t="shared" si="58"/>
        <v>10000</v>
      </c>
      <c r="EU22" s="47">
        <f t="shared" si="58"/>
        <v>11000</v>
      </c>
      <c r="EV22" s="47">
        <f t="shared" si="58"/>
        <v>12000</v>
      </c>
      <c r="EW22" s="47">
        <f t="shared" si="58"/>
        <v>13000</v>
      </c>
      <c r="EX22" s="47">
        <f t="shared" si="58"/>
        <v>14000</v>
      </c>
      <c r="EY22" s="47">
        <f t="shared" si="58"/>
        <v>15000</v>
      </c>
      <c r="EZ22" s="47">
        <f t="shared" si="58"/>
        <v>16000</v>
      </c>
      <c r="FA22" s="47">
        <f t="shared" si="58"/>
        <v>18000</v>
      </c>
      <c r="FB22" s="200">
        <f t="shared" si="42"/>
        <v>120</v>
      </c>
      <c r="FC22" s="47">
        <f t="shared" ref="FC22:FK22" si="59">IF(FC11&lt;1000,ROUNDDOWN(FC11,-1),ROUNDDOWN(FC11,-2))</f>
        <v>130</v>
      </c>
      <c r="FD22" s="47">
        <f t="shared" si="59"/>
        <v>140</v>
      </c>
      <c r="FE22" s="47">
        <f t="shared" si="59"/>
        <v>160</v>
      </c>
      <c r="FF22" s="47">
        <f t="shared" si="59"/>
        <v>180</v>
      </c>
      <c r="FG22" s="47">
        <f t="shared" si="59"/>
        <v>190</v>
      </c>
      <c r="FH22" s="47">
        <f t="shared" si="59"/>
        <v>210</v>
      </c>
      <c r="FI22" s="47">
        <f t="shared" si="59"/>
        <v>230</v>
      </c>
      <c r="FJ22" s="47">
        <f t="shared" si="59"/>
        <v>240</v>
      </c>
      <c r="FK22" s="463">
        <f t="shared" si="59"/>
        <v>260</v>
      </c>
    </row>
    <row r="23" spans="40:167" x14ac:dyDescent="0.35">
      <c r="AN23"/>
      <c r="AO23"/>
      <c r="BG23" s="131" t="s">
        <v>15</v>
      </c>
      <c r="BH23" s="341">
        <f t="shared" ref="BH23:BQ23" si="60">ROUNDDOWN(BH12, -3)</f>
        <v>378000</v>
      </c>
      <c r="BI23" s="341">
        <f t="shared" si="60"/>
        <v>409000</v>
      </c>
      <c r="BJ23" s="341">
        <f t="shared" si="60"/>
        <v>442000</v>
      </c>
      <c r="BK23" s="341">
        <f t="shared" si="60"/>
        <v>488000</v>
      </c>
      <c r="BL23" s="341">
        <f t="shared" si="60"/>
        <v>558000</v>
      </c>
      <c r="BM23" s="341">
        <f t="shared" si="60"/>
        <v>599000</v>
      </c>
      <c r="BN23" s="341">
        <f t="shared" si="60"/>
        <v>655000</v>
      </c>
      <c r="BO23" s="341">
        <f t="shared" si="60"/>
        <v>721000</v>
      </c>
      <c r="BP23" s="341">
        <f t="shared" si="60"/>
        <v>788000</v>
      </c>
      <c r="BQ23" s="341">
        <f t="shared" si="60"/>
        <v>860000</v>
      </c>
      <c r="BR23" s="341"/>
      <c r="BS23" s="341"/>
      <c r="EG23" s="131" t="s">
        <v>15</v>
      </c>
      <c r="EH23" s="200">
        <f t="shared" si="39"/>
        <v>113000</v>
      </c>
      <c r="EI23" s="47">
        <f t="shared" si="34"/>
        <v>122000</v>
      </c>
      <c r="EJ23" s="47">
        <f t="shared" si="34"/>
        <v>132000</v>
      </c>
      <c r="EK23" s="47">
        <f t="shared" si="34"/>
        <v>146000</v>
      </c>
      <c r="EL23" s="47">
        <f t="shared" si="34"/>
        <v>167000</v>
      </c>
      <c r="EM23" s="47">
        <f t="shared" si="34"/>
        <v>224000</v>
      </c>
      <c r="EN23" s="47">
        <f t="shared" si="34"/>
        <v>245000</v>
      </c>
      <c r="EO23" s="47">
        <f t="shared" si="34"/>
        <v>270000</v>
      </c>
      <c r="EP23" s="47">
        <f t="shared" si="34"/>
        <v>295000</v>
      </c>
      <c r="EQ23" s="463">
        <f t="shared" ref="EQ23" si="61">ROUNDDOWN(EQ12, -3)</f>
        <v>322000</v>
      </c>
      <c r="ER23" s="47">
        <f t="shared" ref="ER23:FA23" si="62">IF(ER12&lt;10000,ROUNDDOWN(ER12,-2),ROUNDDOWN(ER12,-3))</f>
        <v>40000</v>
      </c>
      <c r="ES23" s="47">
        <f t="shared" si="62"/>
        <v>43000</v>
      </c>
      <c r="ET23" s="47">
        <f t="shared" si="62"/>
        <v>47000</v>
      </c>
      <c r="EU23" s="47">
        <f t="shared" si="62"/>
        <v>52000</v>
      </c>
      <c r="EV23" s="47">
        <f t="shared" si="62"/>
        <v>59000</v>
      </c>
      <c r="EW23" s="47">
        <f t="shared" si="62"/>
        <v>80000</v>
      </c>
      <c r="EX23" s="47">
        <f t="shared" si="62"/>
        <v>87000</v>
      </c>
      <c r="EY23" s="47">
        <f t="shared" si="62"/>
        <v>96000</v>
      </c>
      <c r="EZ23" s="47">
        <f t="shared" si="62"/>
        <v>105000</v>
      </c>
      <c r="FA23" s="47">
        <f t="shared" si="62"/>
        <v>115000</v>
      </c>
      <c r="FB23" s="200">
        <f t="shared" si="42"/>
        <v>420</v>
      </c>
      <c r="FC23" s="47">
        <f t="shared" ref="FC23:FK23" si="63">IF(FC12&lt;1000,ROUNDDOWN(FC12,-1),ROUNDDOWN(FC12,-2))</f>
        <v>450</v>
      </c>
      <c r="FD23" s="47">
        <f t="shared" si="63"/>
        <v>490</v>
      </c>
      <c r="FE23" s="47">
        <f t="shared" si="63"/>
        <v>540</v>
      </c>
      <c r="FF23" s="47">
        <f t="shared" si="63"/>
        <v>620</v>
      </c>
      <c r="FG23" s="47">
        <f t="shared" si="63"/>
        <v>830</v>
      </c>
      <c r="FH23" s="47">
        <f t="shared" si="63"/>
        <v>910</v>
      </c>
      <c r="FI23" s="47">
        <f t="shared" si="63"/>
        <v>1000</v>
      </c>
      <c r="FJ23" s="47">
        <f t="shared" si="63"/>
        <v>1000</v>
      </c>
      <c r="FK23" s="463">
        <f t="shared" si="63"/>
        <v>1100</v>
      </c>
    </row>
    <row r="24" spans="40:167" x14ac:dyDescent="0.35">
      <c r="AN24"/>
      <c r="AO24"/>
      <c r="BG24" s="131" t="s">
        <v>17</v>
      </c>
      <c r="BH24" s="341">
        <f t="shared" ref="BH24:BQ24" si="64">ROUNDDOWN(BH13, -3)</f>
        <v>290000</v>
      </c>
      <c r="BI24" s="341">
        <f t="shared" si="64"/>
        <v>339000</v>
      </c>
      <c r="BJ24" s="341">
        <f t="shared" si="64"/>
        <v>401000</v>
      </c>
      <c r="BK24" s="341">
        <f t="shared" si="64"/>
        <v>478000</v>
      </c>
      <c r="BL24" s="341">
        <f t="shared" si="64"/>
        <v>542000</v>
      </c>
      <c r="BM24" s="341">
        <f t="shared" si="64"/>
        <v>608000</v>
      </c>
      <c r="BN24" s="341">
        <f t="shared" si="64"/>
        <v>669000</v>
      </c>
      <c r="BO24" s="341">
        <f t="shared" si="64"/>
        <v>716000</v>
      </c>
      <c r="BP24" s="341">
        <f t="shared" si="64"/>
        <v>768000</v>
      </c>
      <c r="BQ24" s="341">
        <f t="shared" si="64"/>
        <v>817000</v>
      </c>
      <c r="BR24" s="341"/>
      <c r="BS24" s="341"/>
      <c r="EG24" s="131" t="s">
        <v>17</v>
      </c>
      <c r="EH24" s="200">
        <f t="shared" si="39"/>
        <v>111000</v>
      </c>
      <c r="EI24" s="47">
        <f t="shared" si="34"/>
        <v>130000</v>
      </c>
      <c r="EJ24" s="47">
        <f t="shared" si="34"/>
        <v>154000</v>
      </c>
      <c r="EK24" s="47">
        <f t="shared" si="34"/>
        <v>183000</v>
      </c>
      <c r="EL24" s="47">
        <f t="shared" si="34"/>
        <v>208000</v>
      </c>
      <c r="EM24" s="47">
        <f t="shared" si="34"/>
        <v>233000</v>
      </c>
      <c r="EN24" s="47">
        <f t="shared" si="34"/>
        <v>256000</v>
      </c>
      <c r="EO24" s="47">
        <f t="shared" si="34"/>
        <v>274000</v>
      </c>
      <c r="EP24" s="47">
        <f t="shared" si="34"/>
        <v>294000</v>
      </c>
      <c r="EQ24" s="463">
        <f t="shared" ref="EQ24" si="65">ROUNDDOWN(EQ13, -3)</f>
        <v>313000</v>
      </c>
      <c r="ER24" s="47">
        <f t="shared" ref="ER24:FA24" si="66">IF(ER13&lt;10000,ROUNDDOWN(ER13,-2),ROUNDDOWN(ER13,-3))</f>
        <v>39000</v>
      </c>
      <c r="ES24" s="47">
        <f t="shared" si="66"/>
        <v>46000</v>
      </c>
      <c r="ET24" s="47">
        <f t="shared" si="66"/>
        <v>55000</v>
      </c>
      <c r="EU24" s="47">
        <f t="shared" si="66"/>
        <v>65000</v>
      </c>
      <c r="EV24" s="47">
        <f t="shared" si="66"/>
        <v>74000</v>
      </c>
      <c r="EW24" s="47">
        <f t="shared" si="66"/>
        <v>83000</v>
      </c>
      <c r="EX24" s="47">
        <f t="shared" si="66"/>
        <v>91000</v>
      </c>
      <c r="EY24" s="47">
        <f t="shared" si="66"/>
        <v>98000</v>
      </c>
      <c r="EZ24" s="47">
        <f t="shared" si="66"/>
        <v>105000</v>
      </c>
      <c r="FA24" s="47">
        <f t="shared" si="66"/>
        <v>111000</v>
      </c>
      <c r="FB24" s="200">
        <f t="shared" si="42"/>
        <v>250</v>
      </c>
      <c r="FC24" s="47">
        <f t="shared" ref="FC24:FK24" si="67">IF(FC13&lt;1000,ROUNDDOWN(FC13,-1),ROUNDDOWN(FC13,-2))</f>
        <v>290</v>
      </c>
      <c r="FD24" s="47">
        <f t="shared" si="67"/>
        <v>340</v>
      </c>
      <c r="FE24" s="47">
        <f t="shared" si="67"/>
        <v>410</v>
      </c>
      <c r="FF24" s="47">
        <f t="shared" si="67"/>
        <v>470</v>
      </c>
      <c r="FG24" s="47">
        <f t="shared" si="67"/>
        <v>520</v>
      </c>
      <c r="FH24" s="47">
        <f t="shared" si="67"/>
        <v>580</v>
      </c>
      <c r="FI24" s="47">
        <f t="shared" si="67"/>
        <v>620</v>
      </c>
      <c r="FJ24" s="47">
        <f t="shared" si="67"/>
        <v>660</v>
      </c>
      <c r="FK24" s="463">
        <f t="shared" si="67"/>
        <v>700</v>
      </c>
    </row>
    <row r="25" spans="40:167" x14ac:dyDescent="0.35">
      <c r="AN25"/>
      <c r="AO25"/>
      <c r="BG25" s="131" t="s">
        <v>19</v>
      </c>
      <c r="BH25" s="341">
        <f t="shared" ref="BH25:BQ25" si="68">ROUNDDOWN(BH14, -3)</f>
        <v>207000</v>
      </c>
      <c r="BI25" s="341">
        <f t="shared" si="68"/>
        <v>224000</v>
      </c>
      <c r="BJ25" s="341">
        <f t="shared" si="68"/>
        <v>242000</v>
      </c>
      <c r="BK25" s="341">
        <f t="shared" si="68"/>
        <v>263000</v>
      </c>
      <c r="BL25" s="341">
        <f t="shared" si="68"/>
        <v>288000</v>
      </c>
      <c r="BM25" s="341">
        <f t="shared" si="68"/>
        <v>309000</v>
      </c>
      <c r="BN25" s="341">
        <f t="shared" si="68"/>
        <v>332000</v>
      </c>
      <c r="BO25" s="341">
        <f t="shared" si="68"/>
        <v>356000</v>
      </c>
      <c r="BP25" s="341">
        <f t="shared" si="68"/>
        <v>385000</v>
      </c>
      <c r="BQ25" s="341">
        <f t="shared" si="68"/>
        <v>416000</v>
      </c>
      <c r="BR25" s="341"/>
      <c r="BS25" s="341"/>
      <c r="EG25" s="131" t="s">
        <v>19</v>
      </c>
      <c r="EH25" s="200">
        <f t="shared" si="39"/>
        <v>75000</v>
      </c>
      <c r="EI25" s="47">
        <f t="shared" si="34"/>
        <v>82000</v>
      </c>
      <c r="EJ25" s="47">
        <f t="shared" si="34"/>
        <v>88000</v>
      </c>
      <c r="EK25" s="47">
        <f t="shared" si="34"/>
        <v>96000</v>
      </c>
      <c r="EL25" s="47">
        <f t="shared" si="34"/>
        <v>105000</v>
      </c>
      <c r="EM25" s="47">
        <f t="shared" si="34"/>
        <v>113000</v>
      </c>
      <c r="EN25" s="47">
        <f t="shared" si="34"/>
        <v>121000</v>
      </c>
      <c r="EO25" s="47">
        <f t="shared" si="34"/>
        <v>130000</v>
      </c>
      <c r="EP25" s="47">
        <f t="shared" si="34"/>
        <v>140000</v>
      </c>
      <c r="EQ25" s="463">
        <f t="shared" ref="EQ25" si="69">ROUNDDOWN(EQ14, -3)</f>
        <v>152000</v>
      </c>
      <c r="ER25" s="47">
        <f t="shared" ref="ER25:FA25" si="70">IF(ER14&lt;10000,ROUNDDOWN(ER14,-2),ROUNDDOWN(ER14,-3))</f>
        <v>27000</v>
      </c>
      <c r="ES25" s="47">
        <f t="shared" si="70"/>
        <v>29000</v>
      </c>
      <c r="ET25" s="47">
        <f t="shared" si="70"/>
        <v>31000</v>
      </c>
      <c r="EU25" s="47">
        <f t="shared" si="70"/>
        <v>34000</v>
      </c>
      <c r="EV25" s="47">
        <f t="shared" si="70"/>
        <v>37000</v>
      </c>
      <c r="EW25" s="47">
        <f t="shared" si="70"/>
        <v>40000</v>
      </c>
      <c r="EX25" s="47">
        <f t="shared" si="70"/>
        <v>43000</v>
      </c>
      <c r="EY25" s="47">
        <f t="shared" si="70"/>
        <v>46000</v>
      </c>
      <c r="EZ25" s="47">
        <f t="shared" si="70"/>
        <v>50000</v>
      </c>
      <c r="FA25" s="47">
        <f t="shared" si="70"/>
        <v>54000</v>
      </c>
      <c r="FB25" s="200">
        <f t="shared" si="42"/>
        <v>200</v>
      </c>
      <c r="FC25" s="47">
        <f t="shared" ref="FC25:FK25" si="71">IF(FC14&lt;1000,ROUNDDOWN(FC14,-1),ROUNDDOWN(FC14,-2))</f>
        <v>220</v>
      </c>
      <c r="FD25" s="47">
        <f t="shared" si="71"/>
        <v>230</v>
      </c>
      <c r="FE25" s="47">
        <f t="shared" si="71"/>
        <v>250</v>
      </c>
      <c r="FF25" s="47">
        <f t="shared" si="71"/>
        <v>280</v>
      </c>
      <c r="FG25" s="47">
        <f t="shared" si="71"/>
        <v>300</v>
      </c>
      <c r="FH25" s="47">
        <f t="shared" si="71"/>
        <v>320</v>
      </c>
      <c r="FI25" s="47">
        <f t="shared" si="71"/>
        <v>340</v>
      </c>
      <c r="FJ25" s="47">
        <f t="shared" si="71"/>
        <v>370</v>
      </c>
      <c r="FK25" s="463">
        <f t="shared" si="71"/>
        <v>400</v>
      </c>
    </row>
    <row r="26" spans="40:167" ht="15" thickBot="1" x14ac:dyDescent="0.4">
      <c r="AN26"/>
      <c r="AO26"/>
      <c r="BG26" s="131" t="s">
        <v>20</v>
      </c>
      <c r="BH26" s="340">
        <f>SUM(BH17:BH25)</f>
        <v>2726000</v>
      </c>
      <c r="BI26" s="340">
        <f t="shared" ref="BI26:BQ26" si="72">SUM(BI17:BI25)</f>
        <v>2994000</v>
      </c>
      <c r="BJ26" s="340">
        <f t="shared" si="72"/>
        <v>3334000</v>
      </c>
      <c r="BK26" s="340">
        <f t="shared" si="72"/>
        <v>3711000</v>
      </c>
      <c r="BL26" s="340">
        <f t="shared" si="72"/>
        <v>4168000</v>
      </c>
      <c r="BM26" s="340">
        <f t="shared" si="72"/>
        <v>4642000</v>
      </c>
      <c r="BN26" s="340">
        <f t="shared" si="72"/>
        <v>5166000</v>
      </c>
      <c r="BO26" s="340">
        <f t="shared" si="72"/>
        <v>5646000</v>
      </c>
      <c r="BP26" s="340">
        <f t="shared" si="72"/>
        <v>6091000</v>
      </c>
      <c r="BQ26" s="340">
        <f t="shared" si="72"/>
        <v>6567000</v>
      </c>
      <c r="BR26" s="340"/>
      <c r="BS26" s="340"/>
      <c r="EG26" s="131" t="s">
        <v>20</v>
      </c>
      <c r="EH26" s="326">
        <f t="shared" ref="EH26:FJ26" si="73">SUM(EH17:EH25)</f>
        <v>981000</v>
      </c>
      <c r="EI26" s="323">
        <f t="shared" si="73"/>
        <v>1078000</v>
      </c>
      <c r="EJ26" s="323">
        <f t="shared" si="73"/>
        <v>1205000</v>
      </c>
      <c r="EK26" s="323">
        <f t="shared" si="73"/>
        <v>1341000</v>
      </c>
      <c r="EL26" s="323">
        <f t="shared" si="73"/>
        <v>1505000</v>
      </c>
      <c r="EM26" s="323">
        <f t="shared" si="73"/>
        <v>1723000</v>
      </c>
      <c r="EN26" s="323">
        <f t="shared" si="73"/>
        <v>1916000</v>
      </c>
      <c r="EO26" s="323">
        <f t="shared" si="73"/>
        <v>2093000</v>
      </c>
      <c r="EP26" s="323">
        <f t="shared" si="73"/>
        <v>2255000</v>
      </c>
      <c r="EQ26" s="327">
        <f t="shared" ref="EQ26" si="74">SUM(EQ17:EQ25)</f>
        <v>2433000</v>
      </c>
      <c r="ER26" s="52">
        <f t="shared" si="73"/>
        <v>348100</v>
      </c>
      <c r="ES26" s="52">
        <f t="shared" si="73"/>
        <v>381000</v>
      </c>
      <c r="ET26" s="52">
        <f t="shared" si="73"/>
        <v>428000</v>
      </c>
      <c r="EU26" s="52">
        <f t="shared" si="73"/>
        <v>475000</v>
      </c>
      <c r="EV26" s="52">
        <f t="shared" si="73"/>
        <v>535000</v>
      </c>
      <c r="EW26" s="52">
        <f t="shared" si="73"/>
        <v>613000</v>
      </c>
      <c r="EX26" s="52">
        <f t="shared" si="73"/>
        <v>681000</v>
      </c>
      <c r="EY26" s="52">
        <f t="shared" si="73"/>
        <v>743000</v>
      </c>
      <c r="EZ26" s="52">
        <f t="shared" si="73"/>
        <v>804000</v>
      </c>
      <c r="FA26" s="52">
        <f t="shared" ref="FA26" si="75">SUM(FA17:FA25)</f>
        <v>866000</v>
      </c>
      <c r="FB26" s="201">
        <f t="shared" si="73"/>
        <v>3250</v>
      </c>
      <c r="FC26" s="53">
        <f t="shared" si="73"/>
        <v>3530</v>
      </c>
      <c r="FD26" s="53">
        <f t="shared" si="73"/>
        <v>3920</v>
      </c>
      <c r="FE26" s="53">
        <f t="shared" si="73"/>
        <v>4310</v>
      </c>
      <c r="FF26" s="53">
        <f t="shared" si="73"/>
        <v>4940</v>
      </c>
      <c r="FG26" s="53">
        <f t="shared" si="73"/>
        <v>5570</v>
      </c>
      <c r="FH26" s="53">
        <f t="shared" si="73"/>
        <v>6210</v>
      </c>
      <c r="FI26" s="53">
        <f t="shared" si="73"/>
        <v>6750</v>
      </c>
      <c r="FJ26" s="53">
        <f t="shared" si="73"/>
        <v>7220</v>
      </c>
      <c r="FK26" s="466">
        <f t="shared" ref="FK26" si="76">SUM(FK17:FK25)</f>
        <v>7790</v>
      </c>
    </row>
    <row r="27" spans="40:167" x14ac:dyDescent="0.35">
      <c r="AN27"/>
      <c r="AO27"/>
    </row>
    <row r="28" spans="40:167" x14ac:dyDescent="0.35">
      <c r="AN28"/>
      <c r="AO28"/>
    </row>
    <row r="29" spans="40:167" x14ac:dyDescent="0.35">
      <c r="AN29"/>
      <c r="AO29"/>
    </row>
    <row r="30" spans="40:167" x14ac:dyDescent="0.35">
      <c r="AN30"/>
      <c r="AO30"/>
    </row>
    <row r="31" spans="40:167" x14ac:dyDescent="0.35">
      <c r="AN31"/>
      <c r="AO31"/>
    </row>
    <row r="32" spans="40:167" x14ac:dyDescent="0.35">
      <c r="AN32"/>
      <c r="AO32"/>
    </row>
    <row r="33" spans="40:41" x14ac:dyDescent="0.35">
      <c r="AN33"/>
      <c r="AO33"/>
    </row>
    <row r="34" spans="40:41" x14ac:dyDescent="0.35">
      <c r="AN34"/>
      <c r="AO34"/>
    </row>
    <row r="35" spans="40:41" x14ac:dyDescent="0.35">
      <c r="AN35"/>
      <c r="AO35"/>
    </row>
    <row r="36" spans="40:41" x14ac:dyDescent="0.35">
      <c r="AN36"/>
      <c r="AO36"/>
    </row>
    <row r="37" spans="40:41" x14ac:dyDescent="0.35">
      <c r="AN37"/>
      <c r="AO37"/>
    </row>
    <row r="38" spans="40:41" x14ac:dyDescent="0.35">
      <c r="AN38"/>
      <c r="AO38"/>
    </row>
    <row r="39" spans="40:41" x14ac:dyDescent="0.35">
      <c r="AN39"/>
      <c r="AO39"/>
    </row>
    <row r="40" spans="40:41" x14ac:dyDescent="0.35">
      <c r="AN40"/>
      <c r="AO40"/>
    </row>
    <row r="41" spans="40:41" x14ac:dyDescent="0.35">
      <c r="AN41"/>
      <c r="AO41"/>
    </row>
  </sheetData>
  <mergeCells count="19">
    <mergeCell ref="CC3:CK4"/>
    <mergeCell ref="AB2:AM2"/>
    <mergeCell ref="AB3:AM4"/>
    <mergeCell ref="AO3:AW4"/>
    <mergeCell ref="FB3:FK4"/>
    <mergeCell ref="ER3:FA4"/>
    <mergeCell ref="DF3:DO4"/>
    <mergeCell ref="DP3:DX4"/>
    <mergeCell ref="CL3:CU3"/>
    <mergeCell ref="CV3:DE3"/>
    <mergeCell ref="BS3:CA4"/>
    <mergeCell ref="EH3:EP4"/>
    <mergeCell ref="E4:H4"/>
    <mergeCell ref="I4:L4"/>
    <mergeCell ref="R3:AA4"/>
    <mergeCell ref="AY3:BG4"/>
    <mergeCell ref="BI3:BQ4"/>
    <mergeCell ref="E3:M3"/>
    <mergeCell ref="N3:Q4"/>
  </mergeCells>
  <phoneticPr fontId="31" type="noConversion"/>
  <conditionalFormatting sqref="Q6:Q14">
    <cfRule type="containsText" dxfId="20" priority="4" operator="containsText" text="n">
      <formula>NOT(ISERROR(SEARCH("n",Q6)))</formula>
    </cfRule>
  </conditionalFormatting>
  <conditionalFormatting sqref="N6:O14">
    <cfRule type="cellIs" dxfId="19" priority="11" operator="equal">
      <formula>"y"</formula>
    </cfRule>
  </conditionalFormatting>
  <conditionalFormatting sqref="P6:P14">
    <cfRule type="cellIs" dxfId="18" priority="10" operator="equal">
      <formula>"y"</formula>
    </cfRule>
  </conditionalFormatting>
  <conditionalFormatting sqref="B6:B9">
    <cfRule type="cellIs" dxfId="17" priority="7" operator="equal">
      <formula>"?"</formula>
    </cfRule>
    <cfRule type="cellIs" dxfId="16" priority="8" operator="equal">
      <formula>"y"</formula>
    </cfRule>
    <cfRule type="cellIs" dxfId="15" priority="9" operator="equal">
      <formula>"n"</formula>
    </cfRule>
  </conditionalFormatting>
  <conditionalFormatting sqref="N6:P14">
    <cfRule type="containsText" dxfId="14" priority="6" operator="containsText" text="n">
      <formula>NOT(ISERROR(SEARCH("n",N6)))</formula>
    </cfRule>
  </conditionalFormatting>
  <conditionalFormatting sqref="Q6:Q14">
    <cfRule type="cellIs" dxfId="13" priority="5" operator="equal">
      <formula>"y"</formula>
    </cfRule>
  </conditionalFormatting>
  <conditionalFormatting sqref="B10:B14">
    <cfRule type="cellIs" dxfId="12" priority="1" operator="equal">
      <formula>"?"</formula>
    </cfRule>
    <cfRule type="cellIs" dxfId="11" priority="2" operator="equal">
      <formula>"y"</formula>
    </cfRule>
    <cfRule type="cellIs" dxfId="10" priority="3" operator="equal">
      <formula>"n"</formula>
    </cfRule>
  </conditionalFormatting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A0D2F-FC23-49F8-9D5D-F9CB40879D82}">
  <dimension ref="A1:J12"/>
  <sheetViews>
    <sheetView showGridLines="0" workbookViewId="0">
      <selection activeCell="I11" sqref="I11"/>
    </sheetView>
  </sheetViews>
  <sheetFormatPr defaultRowHeight="14.5" x14ac:dyDescent="0.35"/>
  <sheetData>
    <row r="1" spans="1:10" ht="18.5" x14ac:dyDescent="0.35">
      <c r="A1" s="174"/>
      <c r="B1" s="590" t="s">
        <v>203</v>
      </c>
      <c r="C1" s="590"/>
      <c r="D1" s="590"/>
      <c r="E1" s="590"/>
      <c r="F1" s="590"/>
      <c r="G1" s="590"/>
      <c r="H1" s="590"/>
      <c r="I1" s="590"/>
      <c r="J1" s="590"/>
    </row>
    <row r="2" spans="1:10" x14ac:dyDescent="0.35">
      <c r="B2" s="265">
        <v>2012</v>
      </c>
      <c r="C2" s="265">
        <v>2013</v>
      </c>
      <c r="D2" s="265">
        <v>2014</v>
      </c>
      <c r="E2" s="265">
        <v>2015</v>
      </c>
      <c r="F2" s="265">
        <v>2016</v>
      </c>
      <c r="G2" s="265">
        <v>2017</v>
      </c>
      <c r="H2" s="265">
        <v>2018</v>
      </c>
      <c r="I2" s="265">
        <v>2019</v>
      </c>
      <c r="J2" s="265">
        <v>2020</v>
      </c>
    </row>
    <row r="3" spans="1:10" x14ac:dyDescent="0.35">
      <c r="A3" s="198" t="s">
        <v>7</v>
      </c>
      <c r="B3" s="266">
        <v>2.1827872842550278E-11</v>
      </c>
      <c r="C3" s="266">
        <v>2.1827872842550278E-11</v>
      </c>
      <c r="D3" s="266">
        <v>2.1827872842550278E-11</v>
      </c>
      <c r="E3" s="266">
        <v>2.1827872842550278E-11</v>
      </c>
      <c r="F3" s="266">
        <v>45400.000000000015</v>
      </c>
      <c r="G3" s="266">
        <v>90800</v>
      </c>
      <c r="H3" s="266">
        <v>136200</v>
      </c>
      <c r="I3" s="266">
        <v>181600</v>
      </c>
      <c r="J3" s="266">
        <v>226999.99999999997</v>
      </c>
    </row>
    <row r="4" spans="1:10" x14ac:dyDescent="0.35">
      <c r="A4" s="198" t="s">
        <v>9</v>
      </c>
      <c r="B4" s="266">
        <v>4.3655745685100555E-11</v>
      </c>
      <c r="C4" s="266">
        <v>4.3655745685100555E-11</v>
      </c>
      <c r="D4" s="266">
        <v>4.3655745685100555E-11</v>
      </c>
      <c r="E4" s="266">
        <v>4.3655745685100555E-11</v>
      </c>
      <c r="F4" s="266">
        <v>77800.000000000029</v>
      </c>
      <c r="G4" s="266">
        <v>155600</v>
      </c>
      <c r="H4" s="266">
        <v>233400</v>
      </c>
      <c r="I4" s="266">
        <v>311200</v>
      </c>
      <c r="J4" s="266">
        <v>388999.99999999994</v>
      </c>
    </row>
    <row r="5" spans="1:10" x14ac:dyDescent="0.35">
      <c r="A5" s="198" t="s">
        <v>10</v>
      </c>
      <c r="B5" s="266">
        <v>8.7311491370201111E-11</v>
      </c>
      <c r="C5" s="266">
        <v>8.7311491370201111E-11</v>
      </c>
      <c r="D5" s="266">
        <v>8.7311491370201111E-11</v>
      </c>
      <c r="E5" s="266">
        <v>8.7311491370201111E-11</v>
      </c>
      <c r="F5" s="266">
        <v>88200.000000000058</v>
      </c>
      <c r="G5" s="266">
        <v>176400</v>
      </c>
      <c r="H5" s="266">
        <v>264600</v>
      </c>
      <c r="I5" s="266">
        <v>352800</v>
      </c>
      <c r="J5" s="266">
        <v>440999.99999999988</v>
      </c>
    </row>
    <row r="6" spans="1:10" x14ac:dyDescent="0.35">
      <c r="A6" s="198" t="s">
        <v>11</v>
      </c>
      <c r="B6" s="266">
        <v>2.1827872842550278E-11</v>
      </c>
      <c r="C6" s="266">
        <v>2.1827872842550278E-11</v>
      </c>
      <c r="D6" s="266">
        <v>2.1827872842550278E-11</v>
      </c>
      <c r="E6" s="266">
        <v>2.1827872842550278E-11</v>
      </c>
      <c r="F6" s="266">
        <v>37600.000000000015</v>
      </c>
      <c r="G6" s="266">
        <v>75200</v>
      </c>
      <c r="H6" s="266">
        <v>112800</v>
      </c>
      <c r="I6" s="266">
        <v>150400</v>
      </c>
      <c r="J6" s="266">
        <v>187999.99999999997</v>
      </c>
    </row>
    <row r="7" spans="1:10" x14ac:dyDescent="0.35">
      <c r="A7" s="198" t="s">
        <v>13</v>
      </c>
      <c r="B7" s="266">
        <v>4.3655745685100555E-11</v>
      </c>
      <c r="C7" s="266">
        <v>4.3655745685100555E-11</v>
      </c>
      <c r="D7" s="266">
        <v>4.3655745685100555E-11</v>
      </c>
      <c r="E7" s="266">
        <v>4.3655745685100555E-11</v>
      </c>
      <c r="F7" s="266">
        <v>53800.000000000029</v>
      </c>
      <c r="G7" s="266">
        <v>107600</v>
      </c>
      <c r="H7" s="266">
        <v>161400</v>
      </c>
      <c r="I7" s="266">
        <v>215200</v>
      </c>
      <c r="J7" s="266">
        <v>268999.99999999994</v>
      </c>
    </row>
    <row r="8" spans="1:10" x14ac:dyDescent="0.35">
      <c r="A8" s="198" t="s">
        <v>14</v>
      </c>
      <c r="B8" s="266">
        <v>8.1854523159563541E-12</v>
      </c>
      <c r="C8" s="266">
        <v>8.1854523159563541E-12</v>
      </c>
      <c r="D8" s="266">
        <v>8.1854523159563541E-12</v>
      </c>
      <c r="E8" s="266">
        <v>8.1854523159563541E-12</v>
      </c>
      <c r="F8" s="266">
        <v>7800.0000000000055</v>
      </c>
      <c r="G8" s="266">
        <v>15600.000000000004</v>
      </c>
      <c r="H8" s="266">
        <v>23400</v>
      </c>
      <c r="I8" s="266">
        <v>31199.999999999996</v>
      </c>
      <c r="J8" s="266">
        <v>39000</v>
      </c>
    </row>
    <row r="9" spans="1:10" x14ac:dyDescent="0.35">
      <c r="A9" s="198" t="s">
        <v>15</v>
      </c>
      <c r="B9" s="266">
        <v>4.3655745685100555E-11</v>
      </c>
      <c r="C9" s="266">
        <v>4.3655745685100555E-11</v>
      </c>
      <c r="D9" s="266">
        <v>4.3655745685100555E-11</v>
      </c>
      <c r="E9" s="266">
        <v>4.3655745685100555E-11</v>
      </c>
      <c r="F9" s="266">
        <v>60800.000000000029</v>
      </c>
      <c r="G9" s="266">
        <v>121600</v>
      </c>
      <c r="H9" s="266">
        <v>182400</v>
      </c>
      <c r="I9" s="266">
        <v>243200</v>
      </c>
      <c r="J9" s="266">
        <v>303999.99999999994</v>
      </c>
    </row>
    <row r="10" spans="1:10" x14ac:dyDescent="0.35">
      <c r="A10" s="198" t="s">
        <v>17</v>
      </c>
      <c r="B10" s="266">
        <v>2.1827872842550278E-11</v>
      </c>
      <c r="C10" s="266">
        <v>2.1827872842550278E-11</v>
      </c>
      <c r="D10" s="266">
        <v>2.1827872842550278E-11</v>
      </c>
      <c r="E10" s="266">
        <v>2.1827872842550278E-11</v>
      </c>
      <c r="F10" s="266">
        <v>43400.000000000015</v>
      </c>
      <c r="G10" s="266">
        <v>86800</v>
      </c>
      <c r="H10" s="266">
        <v>130200</v>
      </c>
      <c r="I10" s="266">
        <v>173600</v>
      </c>
      <c r="J10" s="266">
        <v>216999.99999999997</v>
      </c>
    </row>
    <row r="11" spans="1:10" x14ac:dyDescent="0.35">
      <c r="A11" s="198" t="s">
        <v>19</v>
      </c>
      <c r="B11" s="266">
        <v>3.2741809263825417E-11</v>
      </c>
      <c r="C11" s="266">
        <v>3.2741809263825417E-11</v>
      </c>
      <c r="D11" s="266">
        <v>3.2741809263825417E-11</v>
      </c>
      <c r="E11" s="266">
        <v>3.2741809263825417E-11</v>
      </c>
      <c r="F11" s="266">
        <v>28200.000000000022</v>
      </c>
      <c r="G11" s="266">
        <v>56400.000000000015</v>
      </c>
      <c r="H11" s="266">
        <v>84600</v>
      </c>
      <c r="I11" s="266">
        <v>112799.99999999999</v>
      </c>
      <c r="J11" s="266">
        <v>141000</v>
      </c>
    </row>
    <row r="12" spans="1:10" x14ac:dyDescent="0.35">
      <c r="A12" s="267" t="s">
        <v>20</v>
      </c>
      <c r="B12" s="268">
        <v>5.2386894822120667E-10</v>
      </c>
      <c r="C12" s="268">
        <v>5.2386894822120667E-10</v>
      </c>
      <c r="D12" s="268">
        <v>5.2386894822120667E-10</v>
      </c>
      <c r="E12" s="268">
        <v>5.2386894822120667E-10</v>
      </c>
      <c r="F12" s="268">
        <v>443000.00000000035</v>
      </c>
      <c r="G12" s="268">
        <v>886000.00000000023</v>
      </c>
      <c r="H12" s="268">
        <v>1329000</v>
      </c>
      <c r="I12" s="268">
        <v>1771999.9999999998</v>
      </c>
      <c r="J12" s="268">
        <v>2215000</v>
      </c>
    </row>
  </sheetData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6351-C891-46CF-A5DE-CE2D0EB4E698}">
  <dimension ref="A1:D14"/>
  <sheetViews>
    <sheetView showGridLines="0" zoomScale="80" zoomScaleNormal="80" workbookViewId="0">
      <selection activeCell="I28" sqref="I28"/>
    </sheetView>
  </sheetViews>
  <sheetFormatPr defaultRowHeight="14.5" x14ac:dyDescent="0.35"/>
  <cols>
    <col min="1" max="1" width="17.36328125" style="344" customWidth="1"/>
    <col min="2" max="2" width="15.453125" style="344" customWidth="1"/>
  </cols>
  <sheetData>
    <row r="1" spans="1:4" x14ac:dyDescent="0.35">
      <c r="B1" s="344" t="s">
        <v>236</v>
      </c>
    </row>
    <row r="2" spans="1:4" ht="43.5" x14ac:dyDescent="0.35">
      <c r="A2" s="343"/>
      <c r="B2" s="23" t="s">
        <v>237</v>
      </c>
      <c r="C2" s="345" t="s">
        <v>238</v>
      </c>
      <c r="D2" t="s">
        <v>239</v>
      </c>
    </row>
    <row r="3" spans="1:4" x14ac:dyDescent="0.35">
      <c r="A3" s="18" t="s">
        <v>10</v>
      </c>
      <c r="B3" s="12">
        <v>581000</v>
      </c>
      <c r="C3" s="266">
        <v>440999.99999999988</v>
      </c>
      <c r="D3" s="342">
        <f t="shared" ref="D3:D11" si="0">B3/C3</f>
        <v>1.3174603174603179</v>
      </c>
    </row>
    <row r="4" spans="1:4" x14ac:dyDescent="0.35">
      <c r="A4" s="18" t="s">
        <v>17</v>
      </c>
      <c r="B4" s="12">
        <v>275000</v>
      </c>
      <c r="C4" s="266">
        <v>216999.99999999997</v>
      </c>
      <c r="D4" s="342">
        <f t="shared" si="0"/>
        <v>1.2672811059907836</v>
      </c>
    </row>
    <row r="5" spans="1:4" x14ac:dyDescent="0.35">
      <c r="A5" s="18" t="s">
        <v>9</v>
      </c>
      <c r="B5" s="12">
        <v>469000</v>
      </c>
      <c r="C5" s="266">
        <v>388999.99999999994</v>
      </c>
      <c r="D5" s="342">
        <f t="shared" si="0"/>
        <v>1.2056555269922882</v>
      </c>
    </row>
    <row r="6" spans="1:4" x14ac:dyDescent="0.35">
      <c r="A6" s="18" t="s">
        <v>14</v>
      </c>
      <c r="B6" s="12">
        <v>46000</v>
      </c>
      <c r="C6" s="266">
        <v>39000</v>
      </c>
      <c r="D6" s="342">
        <f t="shared" si="0"/>
        <v>1.1794871794871795</v>
      </c>
    </row>
    <row r="7" spans="1:4" x14ac:dyDescent="0.35">
      <c r="A7" s="18" t="s">
        <v>11</v>
      </c>
      <c r="B7" s="12">
        <v>208000</v>
      </c>
      <c r="C7" s="266">
        <v>187999.99999999997</v>
      </c>
      <c r="D7" s="342">
        <f t="shared" si="0"/>
        <v>1.1063829787234045</v>
      </c>
    </row>
    <row r="8" spans="1:4" x14ac:dyDescent="0.35">
      <c r="A8" s="18" t="s">
        <v>15</v>
      </c>
      <c r="B8" s="12">
        <v>302000</v>
      </c>
      <c r="C8" s="266">
        <v>303999.99999999994</v>
      </c>
      <c r="D8" s="342">
        <f t="shared" si="0"/>
        <v>0.99342105263157909</v>
      </c>
    </row>
    <row r="9" spans="1:4" x14ac:dyDescent="0.35">
      <c r="A9" s="18" t="s">
        <v>13</v>
      </c>
      <c r="B9" s="12">
        <v>251000</v>
      </c>
      <c r="C9" s="266">
        <v>268999.99999999994</v>
      </c>
      <c r="D9" s="342">
        <f t="shared" si="0"/>
        <v>0.93308550185873629</v>
      </c>
    </row>
    <row r="10" spans="1:4" x14ac:dyDescent="0.35">
      <c r="A10" s="18" t="s">
        <v>19</v>
      </c>
      <c r="B10" s="12">
        <v>128000</v>
      </c>
      <c r="C10" s="266">
        <v>141000</v>
      </c>
      <c r="D10" s="342">
        <f t="shared" si="0"/>
        <v>0.90780141843971629</v>
      </c>
    </row>
    <row r="11" spans="1:4" x14ac:dyDescent="0.35">
      <c r="A11" s="18" t="s">
        <v>7</v>
      </c>
      <c r="B11" s="12">
        <v>139000</v>
      </c>
      <c r="C11" s="266">
        <v>226999.99999999997</v>
      </c>
      <c r="D11" s="342">
        <f t="shared" si="0"/>
        <v>0.61233480176211463</v>
      </c>
    </row>
    <row r="14" spans="1:4" ht="16" thickBot="1" x14ac:dyDescent="0.4">
      <c r="A14" s="86" t="s">
        <v>20</v>
      </c>
      <c r="B14" s="73">
        <f>SUM(B3:B11)</f>
        <v>2399000</v>
      </c>
      <c r="C14" s="268">
        <v>2215000</v>
      </c>
    </row>
  </sheetData>
  <autoFilter ref="A2:D11" xr:uid="{6A6E2254-033E-4E10-AA32-63925DA6D4C7}">
    <sortState xmlns:xlrd2="http://schemas.microsoft.com/office/spreadsheetml/2017/richdata2" ref="A3:D11">
      <sortCondition descending="1" ref="D2:D11"/>
    </sortState>
  </autoFilter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9AB540E-0876-4497-BC0D-504A6766CD41}">
            <xm:f>ABS(B3-'\Users\jwilliamson\Dropbox\FPET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B3:B11</xm:sqref>
        </x14:conditionalFormatting>
        <x14:conditionalFormatting xmlns:xm="http://schemas.microsoft.com/office/excel/2006/main">
          <x14:cfRule type="expression" priority="1" id="{A0757CD4-81A3-41F8-BF61-DC4B48C313DC}">
            <xm:f>ABS(B14-'\Users\jwilliamson\Dropbox\FPET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0CD1-1D24-4E27-8702-DF96EE8F061B}">
  <dimension ref="A3:B74"/>
  <sheetViews>
    <sheetView showGridLines="0" topLeftCell="A70" workbookViewId="0">
      <selection activeCell="B77" sqref="B77:C78"/>
    </sheetView>
  </sheetViews>
  <sheetFormatPr defaultRowHeight="14.5" x14ac:dyDescent="0.35"/>
  <cols>
    <col min="1" max="1" width="21.453125" customWidth="1"/>
  </cols>
  <sheetData>
    <row r="3" spans="1:2" x14ac:dyDescent="0.35">
      <c r="A3" t="s">
        <v>155</v>
      </c>
      <c r="B3" t="s">
        <v>156</v>
      </c>
    </row>
    <row r="4" spans="1:2" x14ac:dyDescent="0.35">
      <c r="A4" s="197" t="s">
        <v>96</v>
      </c>
      <c r="B4" t="s">
        <v>96</v>
      </c>
    </row>
    <row r="5" spans="1:2" x14ac:dyDescent="0.35">
      <c r="A5" s="197" t="s">
        <v>157</v>
      </c>
    </row>
    <row r="6" spans="1:2" x14ac:dyDescent="0.35">
      <c r="A6" s="198" t="s">
        <v>97</v>
      </c>
      <c r="B6" t="s">
        <v>97</v>
      </c>
    </row>
    <row r="7" spans="1:2" x14ac:dyDescent="0.35">
      <c r="A7" s="198" t="s">
        <v>7</v>
      </c>
      <c r="B7" t="s">
        <v>7</v>
      </c>
    </row>
    <row r="8" spans="1:2" x14ac:dyDescent="0.35">
      <c r="A8" s="198" t="s">
        <v>102</v>
      </c>
      <c r="B8" t="s">
        <v>158</v>
      </c>
    </row>
    <row r="9" spans="1:2" x14ac:dyDescent="0.35">
      <c r="A9" s="198" t="s">
        <v>107</v>
      </c>
      <c r="B9" t="s">
        <v>159</v>
      </c>
    </row>
    <row r="10" spans="1:2" x14ac:dyDescent="0.35">
      <c r="A10" s="198" t="s">
        <v>9</v>
      </c>
      <c r="B10" t="s">
        <v>9</v>
      </c>
    </row>
    <row r="11" spans="1:2" x14ac:dyDescent="0.35">
      <c r="A11" s="198" t="s">
        <v>112</v>
      </c>
      <c r="B11" t="s">
        <v>112</v>
      </c>
    </row>
    <row r="12" spans="1:2" x14ac:dyDescent="0.35">
      <c r="A12" s="198" t="s">
        <v>113</v>
      </c>
      <c r="B12" t="s">
        <v>160</v>
      </c>
    </row>
    <row r="13" spans="1:2" x14ac:dyDescent="0.35">
      <c r="A13" s="198" t="s">
        <v>115</v>
      </c>
      <c r="B13" t="s">
        <v>161</v>
      </c>
    </row>
    <row r="14" spans="1:2" x14ac:dyDescent="0.35">
      <c r="A14" s="198" t="s">
        <v>116</v>
      </c>
      <c r="B14" t="s">
        <v>162</v>
      </c>
    </row>
    <row r="15" spans="1:2" x14ac:dyDescent="0.35">
      <c r="A15" s="198" t="s">
        <v>98</v>
      </c>
      <c r="B15" t="s">
        <v>163</v>
      </c>
    </row>
    <row r="16" spans="1:2" x14ac:dyDescent="0.35">
      <c r="A16" s="198" t="s">
        <v>117</v>
      </c>
      <c r="B16" t="s">
        <v>164</v>
      </c>
    </row>
    <row r="17" spans="1:2" x14ac:dyDescent="0.35">
      <c r="A17" s="198" t="s">
        <v>118</v>
      </c>
      <c r="B17" t="s">
        <v>118</v>
      </c>
    </row>
    <row r="18" spans="1:2" x14ac:dyDescent="0.35">
      <c r="A18" s="198" t="s">
        <v>10</v>
      </c>
      <c r="B18" s="198" t="s">
        <v>10</v>
      </c>
    </row>
    <row r="19" spans="1:2" x14ac:dyDescent="0.35">
      <c r="A19" s="198" t="s">
        <v>99</v>
      </c>
      <c r="B19" t="s">
        <v>99</v>
      </c>
    </row>
    <row r="20" spans="1:2" x14ac:dyDescent="0.35">
      <c r="A20" s="198" t="s">
        <v>119</v>
      </c>
      <c r="B20" t="s">
        <v>165</v>
      </c>
    </row>
    <row r="21" spans="1:2" x14ac:dyDescent="0.35">
      <c r="A21" s="198" t="s">
        <v>120</v>
      </c>
      <c r="B21" t="s">
        <v>166</v>
      </c>
    </row>
    <row r="22" spans="1:2" x14ac:dyDescent="0.35">
      <c r="A22" s="198" t="s">
        <v>101</v>
      </c>
      <c r="B22" t="s">
        <v>167</v>
      </c>
    </row>
    <row r="23" spans="1:2" x14ac:dyDescent="0.35">
      <c r="A23" s="198" t="s">
        <v>108</v>
      </c>
      <c r="B23" t="s">
        <v>168</v>
      </c>
    </row>
    <row r="24" spans="1:2" x14ac:dyDescent="0.35">
      <c r="A24" s="198" t="s">
        <v>121</v>
      </c>
      <c r="B24" t="s">
        <v>169</v>
      </c>
    </row>
    <row r="25" spans="1:2" x14ac:dyDescent="0.35">
      <c r="A25" s="198" t="s">
        <v>103</v>
      </c>
      <c r="B25" t="s">
        <v>170</v>
      </c>
    </row>
    <row r="26" spans="1:2" x14ac:dyDescent="0.35">
      <c r="A26" s="198" t="s">
        <v>104</v>
      </c>
      <c r="B26" t="s">
        <v>104</v>
      </c>
    </row>
    <row r="27" spans="1:2" x14ac:dyDescent="0.35">
      <c r="A27" s="198" t="s">
        <v>11</v>
      </c>
      <c r="B27" t="s">
        <v>171</v>
      </c>
    </row>
    <row r="28" spans="1:2" x14ac:dyDescent="0.35">
      <c r="A28" s="198" t="s">
        <v>122</v>
      </c>
      <c r="B28" t="s">
        <v>172</v>
      </c>
    </row>
    <row r="29" spans="1:2" x14ac:dyDescent="0.35">
      <c r="A29" s="198" t="s">
        <v>123</v>
      </c>
      <c r="B29" t="s">
        <v>173</v>
      </c>
    </row>
    <row r="30" spans="1:2" x14ac:dyDescent="0.35">
      <c r="A30" s="198" t="s">
        <v>124</v>
      </c>
      <c r="B30" t="s">
        <v>124</v>
      </c>
    </row>
    <row r="31" spans="1:2" x14ac:dyDescent="0.35">
      <c r="A31" s="198" t="s">
        <v>125</v>
      </c>
      <c r="B31" t="s">
        <v>174</v>
      </c>
    </row>
    <row r="32" spans="1:2" x14ac:dyDescent="0.35">
      <c r="A32" s="198" t="s">
        <v>126</v>
      </c>
      <c r="B32" t="s">
        <v>175</v>
      </c>
    </row>
    <row r="33" spans="1:2" x14ac:dyDescent="0.35">
      <c r="A33" s="198" t="s">
        <v>127</v>
      </c>
      <c r="B33" t="s">
        <v>176</v>
      </c>
    </row>
    <row r="34" spans="1:2" x14ac:dyDescent="0.35">
      <c r="A34" s="198" t="s">
        <v>111</v>
      </c>
      <c r="B34" t="s">
        <v>111</v>
      </c>
    </row>
    <row r="35" spans="1:2" x14ac:dyDescent="0.35">
      <c r="A35" s="198" t="s">
        <v>177</v>
      </c>
      <c r="B35" t="s">
        <v>178</v>
      </c>
    </row>
    <row r="36" spans="1:2" x14ac:dyDescent="0.35">
      <c r="A36" s="198" t="s">
        <v>128</v>
      </c>
      <c r="B36" t="s">
        <v>179</v>
      </c>
    </row>
    <row r="37" spans="1:2" x14ac:dyDescent="0.35">
      <c r="A37" s="198" t="s">
        <v>110</v>
      </c>
      <c r="B37" t="s">
        <v>110</v>
      </c>
    </row>
    <row r="38" spans="1:2" x14ac:dyDescent="0.35">
      <c r="A38" s="198" t="s">
        <v>129</v>
      </c>
      <c r="B38" t="s">
        <v>180</v>
      </c>
    </row>
    <row r="39" spans="1:2" x14ac:dyDescent="0.35">
      <c r="A39" s="198" t="s">
        <v>130</v>
      </c>
      <c r="B39" t="s">
        <v>130</v>
      </c>
    </row>
    <row r="40" spans="1:2" x14ac:dyDescent="0.35">
      <c r="A40" s="198" t="s">
        <v>106</v>
      </c>
      <c r="B40" t="s">
        <v>106</v>
      </c>
    </row>
    <row r="41" spans="1:2" x14ac:dyDescent="0.35">
      <c r="A41" s="198" t="s">
        <v>13</v>
      </c>
      <c r="B41" t="s">
        <v>13</v>
      </c>
    </row>
    <row r="42" spans="1:2" x14ac:dyDescent="0.35">
      <c r="A42" s="198" t="s">
        <v>14</v>
      </c>
      <c r="B42" t="s">
        <v>181</v>
      </c>
    </row>
    <row r="43" spans="1:2" x14ac:dyDescent="0.35">
      <c r="A43" s="198" t="s">
        <v>131</v>
      </c>
      <c r="B43" t="s">
        <v>182</v>
      </c>
    </row>
    <row r="44" spans="1:2" x14ac:dyDescent="0.35">
      <c r="A44" s="198" t="s">
        <v>132</v>
      </c>
      <c r="B44" t="s">
        <v>132</v>
      </c>
    </row>
    <row r="45" spans="1:2" x14ac:dyDescent="0.35">
      <c r="A45" s="198" t="s">
        <v>133</v>
      </c>
      <c r="B45" t="s">
        <v>133</v>
      </c>
    </row>
    <row r="46" spans="1:2" x14ac:dyDescent="0.35">
      <c r="A46" s="198" t="s">
        <v>134</v>
      </c>
      <c r="B46" t="s">
        <v>134</v>
      </c>
    </row>
    <row r="47" spans="1:2" x14ac:dyDescent="0.35">
      <c r="A47" s="198" t="s">
        <v>135</v>
      </c>
      <c r="B47" t="s">
        <v>135</v>
      </c>
    </row>
    <row r="48" spans="1:2" x14ac:dyDescent="0.35">
      <c r="A48" s="198" t="s">
        <v>15</v>
      </c>
      <c r="B48" t="s">
        <v>15</v>
      </c>
    </row>
    <row r="49" spans="1:2" x14ac:dyDescent="0.35">
      <c r="A49" s="198" t="s">
        <v>100</v>
      </c>
      <c r="B49" t="s">
        <v>100</v>
      </c>
    </row>
    <row r="50" spans="1:2" x14ac:dyDescent="0.35">
      <c r="A50" s="198" t="s">
        <v>136</v>
      </c>
      <c r="B50" t="s">
        <v>136</v>
      </c>
    </row>
    <row r="51" spans="1:2" x14ac:dyDescent="0.35">
      <c r="A51" s="198" t="s">
        <v>137</v>
      </c>
      <c r="B51" t="s">
        <v>183</v>
      </c>
    </row>
    <row r="52" spans="1:2" x14ac:dyDescent="0.35">
      <c r="A52" s="198" t="s">
        <v>138</v>
      </c>
      <c r="B52" t="s">
        <v>184</v>
      </c>
    </row>
    <row r="53" spans="1:2" x14ac:dyDescent="0.35">
      <c r="A53" s="198" t="s">
        <v>105</v>
      </c>
      <c r="B53" t="s">
        <v>105</v>
      </c>
    </row>
    <row r="54" spans="1:2" x14ac:dyDescent="0.35">
      <c r="A54" s="198" t="s">
        <v>139</v>
      </c>
      <c r="B54" t="s">
        <v>185</v>
      </c>
    </row>
    <row r="55" spans="1:2" x14ac:dyDescent="0.35">
      <c r="A55" s="198" t="s">
        <v>17</v>
      </c>
      <c r="B55" t="s">
        <v>17</v>
      </c>
    </row>
    <row r="56" spans="1:2" x14ac:dyDescent="0.35">
      <c r="A56" s="198" t="s">
        <v>140</v>
      </c>
      <c r="B56" t="s">
        <v>140</v>
      </c>
    </row>
    <row r="57" spans="1:2" x14ac:dyDescent="0.35">
      <c r="A57" s="198" t="s">
        <v>141</v>
      </c>
      <c r="B57" t="s">
        <v>186</v>
      </c>
    </row>
    <row r="58" spans="1:2" x14ac:dyDescent="0.35">
      <c r="A58" s="198" t="s">
        <v>142</v>
      </c>
      <c r="B58" t="s">
        <v>187</v>
      </c>
    </row>
    <row r="59" spans="1:2" x14ac:dyDescent="0.35">
      <c r="A59" s="198" t="s">
        <v>143</v>
      </c>
      <c r="B59" t="s">
        <v>188</v>
      </c>
    </row>
    <row r="60" spans="1:2" x14ac:dyDescent="0.35">
      <c r="A60" s="198" t="s">
        <v>144</v>
      </c>
      <c r="B60" t="s">
        <v>189</v>
      </c>
    </row>
    <row r="61" spans="1:2" x14ac:dyDescent="0.35">
      <c r="A61" s="198" t="s">
        <v>145</v>
      </c>
      <c r="B61" t="s">
        <v>190</v>
      </c>
    </row>
    <row r="62" spans="1:2" x14ac:dyDescent="0.35">
      <c r="A62" s="198" t="s">
        <v>146</v>
      </c>
      <c r="B62" t="s">
        <v>191</v>
      </c>
    </row>
    <row r="63" spans="1:2" x14ac:dyDescent="0.35">
      <c r="A63" s="198" t="s">
        <v>147</v>
      </c>
      <c r="B63" t="s">
        <v>192</v>
      </c>
    </row>
    <row r="64" spans="1:2" x14ac:dyDescent="0.35">
      <c r="A64" s="198" t="s">
        <v>148</v>
      </c>
      <c r="B64" t="s">
        <v>193</v>
      </c>
    </row>
    <row r="65" spans="1:2" x14ac:dyDescent="0.35">
      <c r="A65" s="198" t="s">
        <v>114</v>
      </c>
      <c r="B65" t="s">
        <v>194</v>
      </c>
    </row>
    <row r="66" spans="1:2" x14ac:dyDescent="0.35">
      <c r="A66" s="198" t="s">
        <v>149</v>
      </c>
      <c r="B66" t="s">
        <v>195</v>
      </c>
    </row>
    <row r="67" spans="1:2" x14ac:dyDescent="0.35">
      <c r="A67" s="198" t="s">
        <v>19</v>
      </c>
      <c r="B67" t="s">
        <v>19</v>
      </c>
    </row>
    <row r="68" spans="1:2" x14ac:dyDescent="0.35">
      <c r="A68" s="198" t="s">
        <v>150</v>
      </c>
      <c r="B68" t="s">
        <v>196</v>
      </c>
    </row>
    <row r="69" spans="1:2" x14ac:dyDescent="0.35">
      <c r="A69" s="198" t="s">
        <v>151</v>
      </c>
      <c r="B69" t="s">
        <v>197</v>
      </c>
    </row>
    <row r="70" spans="1:2" x14ac:dyDescent="0.35">
      <c r="A70" s="198" t="s">
        <v>152</v>
      </c>
      <c r="B70" t="s">
        <v>198</v>
      </c>
    </row>
    <row r="71" spans="1:2" x14ac:dyDescent="0.35">
      <c r="A71" s="198" t="s">
        <v>153</v>
      </c>
      <c r="B71" t="s">
        <v>199</v>
      </c>
    </row>
    <row r="72" spans="1:2" x14ac:dyDescent="0.35">
      <c r="A72" s="198" t="s">
        <v>154</v>
      </c>
      <c r="B72" t="s">
        <v>154</v>
      </c>
    </row>
    <row r="73" spans="1:2" x14ac:dyDescent="0.35">
      <c r="A73" s="198" t="s">
        <v>109</v>
      </c>
      <c r="B73" t="s">
        <v>200</v>
      </c>
    </row>
    <row r="74" spans="1:2" x14ac:dyDescent="0.35">
      <c r="A74" s="198" t="s">
        <v>78</v>
      </c>
      <c r="B74" t="s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1276-63E1-4CE8-B085-B00C3D04A547}">
  <sheetPr>
    <tabColor theme="6"/>
  </sheetPr>
  <dimension ref="A1:N15"/>
  <sheetViews>
    <sheetView showGridLines="0" workbookViewId="0">
      <selection activeCell="C32" sqref="C32"/>
    </sheetView>
  </sheetViews>
  <sheetFormatPr defaultRowHeight="14.5" x14ac:dyDescent="0.35"/>
  <cols>
    <col min="1" max="2" width="18.08984375" customWidth="1"/>
    <col min="3" max="3" width="16.08984375" customWidth="1"/>
    <col min="5" max="5" width="15.453125" customWidth="1"/>
    <col min="6" max="6" width="18" customWidth="1"/>
    <col min="8" max="8" width="25.90625" customWidth="1"/>
    <col min="11" max="11" width="12.54296875" customWidth="1"/>
    <col min="12" max="12" width="10.453125" customWidth="1"/>
    <col min="13" max="13" width="15.6328125" customWidth="1"/>
    <col min="14" max="14" width="87.08984375" bestFit="1" customWidth="1"/>
  </cols>
  <sheetData>
    <row r="1" spans="1:14" x14ac:dyDescent="0.35">
      <c r="A1" s="27"/>
      <c r="B1" s="92"/>
      <c r="C1" s="28"/>
      <c r="D1" s="29"/>
      <c r="E1" s="30"/>
      <c r="F1" s="31"/>
      <c r="G1" s="31"/>
      <c r="H1" s="32"/>
      <c r="I1" s="33"/>
      <c r="J1" s="33"/>
      <c r="K1" s="33"/>
      <c r="L1" s="34"/>
      <c r="M1" s="35"/>
      <c r="N1" s="166"/>
    </row>
    <row r="2" spans="1:14" ht="15.75" customHeight="1" x14ac:dyDescent="0.35">
      <c r="A2" s="36"/>
      <c r="B2" s="93"/>
      <c r="C2" s="525" t="s">
        <v>0</v>
      </c>
      <c r="D2" s="526"/>
      <c r="E2" s="526"/>
      <c r="F2" s="526"/>
      <c r="G2" s="526"/>
      <c r="H2" s="527"/>
      <c r="I2" s="492" t="s">
        <v>77</v>
      </c>
      <c r="J2" s="492"/>
      <c r="K2" s="492"/>
      <c r="L2" s="528"/>
      <c r="M2" s="523" t="s">
        <v>2</v>
      </c>
      <c r="N2" s="522" t="s">
        <v>71</v>
      </c>
    </row>
    <row r="3" spans="1:14" ht="31.5" customHeight="1" x14ac:dyDescent="0.35">
      <c r="A3" s="524" t="s">
        <v>27</v>
      </c>
      <c r="B3" s="121"/>
      <c r="C3" s="529" t="s">
        <v>1</v>
      </c>
      <c r="D3" s="478"/>
      <c r="E3" s="530"/>
      <c r="F3" s="531" t="s">
        <v>2</v>
      </c>
      <c r="G3" s="532"/>
      <c r="H3" s="24" t="s">
        <v>33</v>
      </c>
      <c r="I3" s="492"/>
      <c r="J3" s="492"/>
      <c r="K3" s="492"/>
      <c r="L3" s="528"/>
      <c r="M3" s="523"/>
      <c r="N3" s="522"/>
    </row>
    <row r="4" spans="1:14" ht="43.5" x14ac:dyDescent="0.35">
      <c r="A4" s="524"/>
      <c r="B4" s="121" t="s">
        <v>3</v>
      </c>
      <c r="C4" s="2" t="s">
        <v>31</v>
      </c>
      <c r="D4" s="3" t="s">
        <v>4</v>
      </c>
      <c r="E4" s="4" t="s">
        <v>32</v>
      </c>
      <c r="F4" s="2" t="s">
        <v>3</v>
      </c>
      <c r="G4" s="4" t="s">
        <v>4</v>
      </c>
      <c r="H4" s="4" t="s">
        <v>3</v>
      </c>
      <c r="I4" s="25" t="s">
        <v>34</v>
      </c>
      <c r="J4" s="25" t="s">
        <v>35</v>
      </c>
      <c r="K4" s="25" t="s">
        <v>36</v>
      </c>
      <c r="L4" s="26" t="s">
        <v>37</v>
      </c>
      <c r="M4" s="37" t="s">
        <v>5</v>
      </c>
      <c r="N4" s="167"/>
    </row>
    <row r="5" spans="1:14" ht="15" customHeight="1" x14ac:dyDescent="0.35">
      <c r="A5" s="38" t="s">
        <v>7</v>
      </c>
      <c r="B5" s="8" t="s">
        <v>257</v>
      </c>
      <c r="C5" s="375" t="s">
        <v>18</v>
      </c>
      <c r="D5" s="9">
        <v>2017.5</v>
      </c>
      <c r="E5" s="40" t="s">
        <v>8</v>
      </c>
      <c r="F5" s="41" t="s">
        <v>62</v>
      </c>
      <c r="G5" s="42">
        <v>2017.5</v>
      </c>
      <c r="H5" s="11" t="s">
        <v>64</v>
      </c>
      <c r="I5" s="9"/>
      <c r="J5" s="88" t="s">
        <v>241</v>
      </c>
      <c r="K5" s="10"/>
      <c r="L5" s="89" t="s">
        <v>242</v>
      </c>
      <c r="M5" s="149">
        <v>0.94354838709677413</v>
      </c>
      <c r="N5" s="168"/>
    </row>
    <row r="6" spans="1:14" x14ac:dyDescent="0.35">
      <c r="A6" s="38" t="s">
        <v>9</v>
      </c>
      <c r="B6" s="8" t="s">
        <v>257</v>
      </c>
      <c r="C6" s="375" t="s">
        <v>243</v>
      </c>
      <c r="D6" s="9">
        <v>2020</v>
      </c>
      <c r="E6" s="40" t="s">
        <v>249</v>
      </c>
      <c r="F6" s="41" t="s">
        <v>243</v>
      </c>
      <c r="G6" s="42">
        <v>2020</v>
      </c>
      <c r="H6" s="11" t="s">
        <v>64</v>
      </c>
      <c r="I6" s="9" t="s">
        <v>241</v>
      </c>
      <c r="J6" s="88"/>
      <c r="K6" s="10" t="s">
        <v>241</v>
      </c>
      <c r="L6" s="89" t="s">
        <v>242</v>
      </c>
      <c r="M6" s="149">
        <v>0.90543903306078921</v>
      </c>
      <c r="N6" s="168"/>
    </row>
    <row r="7" spans="1:14" x14ac:dyDescent="0.35">
      <c r="A7" s="38" t="s">
        <v>10</v>
      </c>
      <c r="B7" s="8" t="s">
        <v>246</v>
      </c>
      <c r="C7" s="375" t="s">
        <v>244</v>
      </c>
      <c r="D7" s="9">
        <v>2018</v>
      </c>
      <c r="E7" s="40" t="s">
        <v>8</v>
      </c>
      <c r="F7" s="41" t="s">
        <v>16</v>
      </c>
      <c r="G7" s="42">
        <v>2018</v>
      </c>
      <c r="H7" s="11" t="s">
        <v>64</v>
      </c>
      <c r="I7" s="9"/>
      <c r="J7" s="88" t="s">
        <v>241</v>
      </c>
      <c r="K7" s="10"/>
      <c r="L7" s="162" t="s">
        <v>242</v>
      </c>
      <c r="M7" s="39">
        <v>1.0663265306122447</v>
      </c>
      <c r="N7" s="168"/>
    </row>
    <row r="8" spans="1:14" x14ac:dyDescent="0.35">
      <c r="A8" s="38" t="s">
        <v>11</v>
      </c>
      <c r="B8" s="8" t="s">
        <v>257</v>
      </c>
      <c r="C8" s="375" t="s">
        <v>18</v>
      </c>
      <c r="D8" s="9">
        <v>2018</v>
      </c>
      <c r="E8" s="40" t="s">
        <v>8</v>
      </c>
      <c r="F8" s="41" t="s">
        <v>69</v>
      </c>
      <c r="G8" s="42">
        <v>2018</v>
      </c>
      <c r="H8" s="11" t="s">
        <v>64</v>
      </c>
      <c r="I8" s="9"/>
      <c r="J8" s="88" t="s">
        <v>241</v>
      </c>
      <c r="K8" s="10" t="s">
        <v>241</v>
      </c>
      <c r="L8" s="89" t="s">
        <v>242</v>
      </c>
      <c r="M8" s="39">
        <v>1.0754716981132075</v>
      </c>
      <c r="N8" s="168"/>
    </row>
    <row r="9" spans="1:14" x14ac:dyDescent="0.35">
      <c r="A9" s="38" t="s">
        <v>13</v>
      </c>
      <c r="B9" s="8" t="s">
        <v>257</v>
      </c>
      <c r="C9" s="375" t="s">
        <v>18</v>
      </c>
      <c r="D9" s="9">
        <v>2018</v>
      </c>
      <c r="E9" s="40" t="s">
        <v>8</v>
      </c>
      <c r="F9" s="41" t="s">
        <v>69</v>
      </c>
      <c r="G9" s="42">
        <v>2018</v>
      </c>
      <c r="H9" s="11" t="s">
        <v>64</v>
      </c>
      <c r="I9" s="9"/>
      <c r="J9" s="88" t="s">
        <v>241</v>
      </c>
      <c r="K9" s="10" t="s">
        <v>241</v>
      </c>
      <c r="L9" s="89" t="s">
        <v>242</v>
      </c>
      <c r="M9" s="39">
        <v>0.9390243902439025</v>
      </c>
      <c r="N9" s="168"/>
    </row>
    <row r="10" spans="1:14" x14ac:dyDescent="0.35">
      <c r="A10" s="38" t="s">
        <v>14</v>
      </c>
      <c r="B10" s="8" t="s">
        <v>247</v>
      </c>
      <c r="C10" s="375" t="s">
        <v>12</v>
      </c>
      <c r="D10" s="9">
        <v>2015</v>
      </c>
      <c r="E10" s="40" t="s">
        <v>242</v>
      </c>
      <c r="F10" s="41" t="s">
        <v>39</v>
      </c>
      <c r="G10" s="42">
        <v>2015</v>
      </c>
      <c r="H10" s="11" t="s">
        <v>64</v>
      </c>
      <c r="I10" s="9"/>
      <c r="J10" s="88"/>
      <c r="K10" s="10" t="s">
        <v>242</v>
      </c>
      <c r="L10" s="89" t="s">
        <v>242</v>
      </c>
      <c r="M10" s="39">
        <v>0.66666666666666674</v>
      </c>
      <c r="N10" s="168" t="s">
        <v>259</v>
      </c>
    </row>
    <row r="11" spans="1:14" x14ac:dyDescent="0.35">
      <c r="A11" s="150" t="s">
        <v>15</v>
      </c>
      <c r="B11" s="151" t="s">
        <v>258</v>
      </c>
      <c r="C11" s="375" t="s">
        <v>244</v>
      </c>
      <c r="D11" s="152">
        <v>2017</v>
      </c>
      <c r="E11" s="40" t="s">
        <v>8</v>
      </c>
      <c r="F11" s="41" t="s">
        <v>16</v>
      </c>
      <c r="G11" s="42">
        <v>2017</v>
      </c>
      <c r="H11" s="11" t="s">
        <v>64</v>
      </c>
      <c r="I11" s="152"/>
      <c r="J11" s="91" t="s">
        <v>241</v>
      </c>
      <c r="K11" s="10" t="s">
        <v>242</v>
      </c>
      <c r="L11" s="89" t="s">
        <v>242</v>
      </c>
      <c r="M11" s="39">
        <v>0.83977900552486173</v>
      </c>
      <c r="N11" s="168"/>
    </row>
    <row r="12" spans="1:14" x14ac:dyDescent="0.35">
      <c r="A12" s="150" t="s">
        <v>17</v>
      </c>
      <c r="B12" s="151" t="s">
        <v>258</v>
      </c>
      <c r="C12" s="375" t="s">
        <v>18</v>
      </c>
      <c r="D12" s="152">
        <v>2018</v>
      </c>
      <c r="E12" s="40" t="s">
        <v>8</v>
      </c>
      <c r="F12" s="41" t="s">
        <v>69</v>
      </c>
      <c r="G12" s="42">
        <v>2018</v>
      </c>
      <c r="H12" s="11" t="s">
        <v>64</v>
      </c>
      <c r="I12" s="152" t="s">
        <v>241</v>
      </c>
      <c r="J12" s="91" t="s">
        <v>241</v>
      </c>
      <c r="K12" s="10" t="s">
        <v>241</v>
      </c>
      <c r="L12" s="89" t="s">
        <v>242</v>
      </c>
      <c r="M12" s="39" t="s">
        <v>256</v>
      </c>
      <c r="N12" s="168"/>
    </row>
    <row r="13" spans="1:14" ht="15" thickBot="1" x14ac:dyDescent="0.4">
      <c r="A13" s="153" t="s">
        <v>19</v>
      </c>
      <c r="B13" s="154" t="s">
        <v>258</v>
      </c>
      <c r="C13" s="376" t="s">
        <v>12</v>
      </c>
      <c r="D13" s="155">
        <v>2017</v>
      </c>
      <c r="E13" s="156" t="s">
        <v>8</v>
      </c>
      <c r="F13" s="157" t="s">
        <v>254</v>
      </c>
      <c r="G13" s="158">
        <v>2017</v>
      </c>
      <c r="H13" s="160" t="s">
        <v>64</v>
      </c>
      <c r="I13" s="155" t="s">
        <v>241</v>
      </c>
      <c r="J13" s="94" t="s">
        <v>241</v>
      </c>
      <c r="K13" s="159" t="s">
        <v>241</v>
      </c>
      <c r="L13" s="95" t="s">
        <v>242</v>
      </c>
      <c r="M13" s="161">
        <v>0.88317757009345799</v>
      </c>
      <c r="N13" s="169"/>
    </row>
    <row r="15" spans="1:14" x14ac:dyDescent="0.35">
      <c r="A15" s="90" t="s">
        <v>260</v>
      </c>
    </row>
  </sheetData>
  <mergeCells count="7">
    <mergeCell ref="N2:N3"/>
    <mergeCell ref="M2:M3"/>
    <mergeCell ref="A3:A4"/>
    <mergeCell ref="C2:H2"/>
    <mergeCell ref="I2:L3"/>
    <mergeCell ref="C3:E3"/>
    <mergeCell ref="F3:G3"/>
  </mergeCells>
  <phoneticPr fontId="31" type="noConversion"/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E43D111-0F0D-4F64-9A6C-29B148C8BED3}">
            <xm:f>ABS(M6-'\Users\jwilliamson\Dropbox\FPET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M6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1E30-BC72-4167-841A-3E2A9D110D8E}">
  <sheetPr>
    <tabColor theme="6"/>
  </sheetPr>
  <dimension ref="A1:U16"/>
  <sheetViews>
    <sheetView showGridLines="0" workbookViewId="0">
      <pane xSplit="1" ySplit="4" topLeftCell="B5" activePane="bottomRight" state="frozen"/>
      <selection activeCell="C32" sqref="C32"/>
      <selection pane="topRight" activeCell="C32" sqref="C32"/>
      <selection pane="bottomLeft" activeCell="C32" sqref="C32"/>
      <selection pane="bottomRight" activeCell="C32" sqref="C32"/>
    </sheetView>
  </sheetViews>
  <sheetFormatPr defaultRowHeight="14.5" x14ac:dyDescent="0.35"/>
  <cols>
    <col min="1" max="1" width="21.6328125" customWidth="1"/>
  </cols>
  <sheetData>
    <row r="1" spans="1:21" x14ac:dyDescent="0.35">
      <c r="A1" s="19"/>
      <c r="B1" s="75"/>
      <c r="C1" s="76"/>
      <c r="D1" s="76"/>
      <c r="E1" s="76"/>
      <c r="F1" s="76"/>
      <c r="G1" s="76"/>
      <c r="H1" s="76"/>
      <c r="I1" s="76"/>
      <c r="J1" s="76"/>
      <c r="K1" s="77"/>
      <c r="L1" s="80"/>
      <c r="M1" s="81"/>
      <c r="N1" s="81"/>
      <c r="O1" s="81"/>
      <c r="P1" s="81"/>
      <c r="Q1" s="81"/>
      <c r="R1" s="81"/>
      <c r="S1" s="81"/>
      <c r="T1" s="81"/>
      <c r="U1" s="82"/>
    </row>
    <row r="2" spans="1:21" ht="15.75" customHeight="1" x14ac:dyDescent="0.35">
      <c r="A2" s="539" t="s">
        <v>27</v>
      </c>
      <c r="B2" s="533" t="s">
        <v>24</v>
      </c>
      <c r="C2" s="534"/>
      <c r="D2" s="534"/>
      <c r="E2" s="534"/>
      <c r="F2" s="534"/>
      <c r="G2" s="534"/>
      <c r="H2" s="534"/>
      <c r="I2" s="534"/>
      <c r="J2" s="534"/>
      <c r="K2" s="535"/>
      <c r="L2" s="536" t="s">
        <v>25</v>
      </c>
      <c r="M2" s="537"/>
      <c r="N2" s="537"/>
      <c r="O2" s="537"/>
      <c r="P2" s="537"/>
      <c r="Q2" s="537"/>
      <c r="R2" s="537"/>
      <c r="S2" s="537"/>
      <c r="T2" s="537"/>
      <c r="U2" s="538"/>
    </row>
    <row r="3" spans="1:21" ht="15.75" customHeight="1" x14ac:dyDescent="0.35">
      <c r="A3" s="539"/>
      <c r="B3" s="533"/>
      <c r="C3" s="534"/>
      <c r="D3" s="534"/>
      <c r="E3" s="534"/>
      <c r="F3" s="534"/>
      <c r="G3" s="534"/>
      <c r="H3" s="534"/>
      <c r="I3" s="534"/>
      <c r="J3" s="534"/>
      <c r="K3" s="535"/>
      <c r="L3" s="536"/>
      <c r="M3" s="537"/>
      <c r="N3" s="537"/>
      <c r="O3" s="537"/>
      <c r="P3" s="537"/>
      <c r="Q3" s="537"/>
      <c r="R3" s="537"/>
      <c r="S3" s="537"/>
      <c r="T3" s="537"/>
      <c r="U3" s="538"/>
    </row>
    <row r="4" spans="1:21" x14ac:dyDescent="0.35">
      <c r="A4" s="539"/>
      <c r="B4" s="78">
        <v>2011.5</v>
      </c>
      <c r="C4" s="5">
        <v>2012.5</v>
      </c>
      <c r="D4" s="5">
        <v>2013.5</v>
      </c>
      <c r="E4" s="5">
        <v>2014.5</v>
      </c>
      <c r="F4" s="5">
        <v>2015.5</v>
      </c>
      <c r="G4" s="5">
        <v>2016.5</v>
      </c>
      <c r="H4" s="5">
        <v>2017.5</v>
      </c>
      <c r="I4" s="5">
        <v>2018.5</v>
      </c>
      <c r="J4" s="5">
        <v>2019.5</v>
      </c>
      <c r="K4" s="79">
        <v>2020.5</v>
      </c>
      <c r="L4" s="83">
        <v>2011.5</v>
      </c>
      <c r="M4" s="20">
        <v>2012.5</v>
      </c>
      <c r="N4" s="20">
        <v>2013.5</v>
      </c>
      <c r="O4" s="20">
        <v>2014.5</v>
      </c>
      <c r="P4" s="20">
        <v>2015.5</v>
      </c>
      <c r="Q4" s="20">
        <v>2016.5</v>
      </c>
      <c r="R4" s="20">
        <v>2017.5</v>
      </c>
      <c r="S4" s="20">
        <v>2018.5</v>
      </c>
      <c r="T4" s="20">
        <v>2019.5</v>
      </c>
      <c r="U4" s="84">
        <v>2020.5</v>
      </c>
    </row>
    <row r="5" spans="1:21" ht="18" customHeight="1" x14ac:dyDescent="0.35">
      <c r="A5" s="17" t="s">
        <v>7</v>
      </c>
      <c r="B5" s="136">
        <v>7.4999999999999997E-2</v>
      </c>
      <c r="C5" s="137">
        <v>0.08</v>
      </c>
      <c r="D5" s="137">
        <v>8.7999999999999995E-2</v>
      </c>
      <c r="E5" s="137">
        <v>9.6000000000000002E-2</v>
      </c>
      <c r="F5" s="137">
        <v>0.10299999999999999</v>
      </c>
      <c r="G5" s="137">
        <v>0.111</v>
      </c>
      <c r="H5" s="137">
        <v>0.11700000000000001</v>
      </c>
      <c r="I5" s="137">
        <v>0.126</v>
      </c>
      <c r="J5" s="137">
        <v>0.13300000000000001</v>
      </c>
      <c r="K5" s="138">
        <v>0.14000000000000001</v>
      </c>
      <c r="L5" s="141">
        <v>7.0766129032258054E-2</v>
      </c>
      <c r="M5" s="142">
        <v>7.5483870967741937E-2</v>
      </c>
      <c r="N5" s="142">
        <v>8.3032258064516112E-2</v>
      </c>
      <c r="O5" s="142">
        <v>9.0580645161290316E-2</v>
      </c>
      <c r="P5" s="142">
        <v>9.7185483870967732E-2</v>
      </c>
      <c r="Q5" s="142">
        <v>0.10473387096774193</v>
      </c>
      <c r="R5" s="142">
        <v>0.11039516129032258</v>
      </c>
      <c r="S5" s="142">
        <v>0.11888709677419354</v>
      </c>
      <c r="T5" s="142">
        <v>0.12549193548387097</v>
      </c>
      <c r="U5" s="143">
        <v>0.1320967741935484</v>
      </c>
    </row>
    <row r="6" spans="1:21" ht="18" customHeight="1" x14ac:dyDescent="0.35">
      <c r="A6" s="17" t="s">
        <v>9</v>
      </c>
      <c r="B6" s="136">
        <v>0.16908428914793699</v>
      </c>
      <c r="C6" s="137">
        <v>0.182</v>
      </c>
      <c r="D6" s="137">
        <v>0.19700000000000001</v>
      </c>
      <c r="E6" s="137">
        <v>0.214</v>
      </c>
      <c r="F6" s="137">
        <v>0.23300000000000001</v>
      </c>
      <c r="G6" s="137">
        <v>0.254</v>
      </c>
      <c r="H6" s="137">
        <v>0.27800000000000002</v>
      </c>
      <c r="I6" s="137">
        <v>0.29099999999999998</v>
      </c>
      <c r="J6" s="137">
        <v>0.29599999999999999</v>
      </c>
      <c r="K6" s="138">
        <v>0.30499999999999999</v>
      </c>
      <c r="L6" s="141">
        <v>0.15309551527187898</v>
      </c>
      <c r="M6" s="142">
        <v>0.16478990401706364</v>
      </c>
      <c r="N6" s="142">
        <v>0.17837148951297549</v>
      </c>
      <c r="O6" s="142">
        <v>0.19376395307500888</v>
      </c>
      <c r="P6" s="142">
        <v>0.21096729470316389</v>
      </c>
      <c r="Q6" s="142">
        <v>0.22998151439744047</v>
      </c>
      <c r="R6" s="142">
        <v>0.2517120511908994</v>
      </c>
      <c r="S6" s="142">
        <v>0.26348275862068965</v>
      </c>
      <c r="T6" s="142">
        <v>0.26800995378599357</v>
      </c>
      <c r="U6" s="143">
        <v>0.27615890508354068</v>
      </c>
    </row>
    <row r="7" spans="1:21" ht="18" customHeight="1" x14ac:dyDescent="0.35">
      <c r="A7" s="17" t="s">
        <v>10</v>
      </c>
      <c r="B7" s="132">
        <v>0.122</v>
      </c>
      <c r="C7" s="133">
        <v>0.127</v>
      </c>
      <c r="D7" s="133">
        <v>0.13400000000000001</v>
      </c>
      <c r="E7" s="133">
        <v>0.13700000000000001</v>
      </c>
      <c r="F7" s="133">
        <v>0.14699999999999999</v>
      </c>
      <c r="G7" s="133">
        <v>0.16200000000000001</v>
      </c>
      <c r="H7" s="133">
        <v>0.17899999999999999</v>
      </c>
      <c r="I7" s="133">
        <v>0.191</v>
      </c>
      <c r="J7" s="133">
        <v>0.20100000000000001</v>
      </c>
      <c r="K7" s="134">
        <v>0.21099999999999999</v>
      </c>
      <c r="L7" s="141">
        <v>0.13009183673469385</v>
      </c>
      <c r="M7" s="142">
        <v>0.13542346938775507</v>
      </c>
      <c r="N7" s="142">
        <v>0.1428877551020408</v>
      </c>
      <c r="O7" s="142">
        <v>0.14608673469387753</v>
      </c>
      <c r="P7" s="142">
        <v>0.15674999999999997</v>
      </c>
      <c r="Q7" s="142">
        <v>0.17274489795918366</v>
      </c>
      <c r="R7" s="142">
        <v>0.1908724489795918</v>
      </c>
      <c r="S7" s="142">
        <v>0.20366836734693874</v>
      </c>
      <c r="T7" s="142">
        <v>0.21433163265306118</v>
      </c>
      <c r="U7" s="143">
        <v>0.22499489795918362</v>
      </c>
    </row>
    <row r="8" spans="1:21" ht="18" customHeight="1" x14ac:dyDescent="0.35">
      <c r="A8" s="17" t="s">
        <v>11</v>
      </c>
      <c r="B8" s="136">
        <v>0.05</v>
      </c>
      <c r="C8" s="137">
        <v>5.1999999999999998E-2</v>
      </c>
      <c r="D8" s="137">
        <v>5.7000000000000002E-2</v>
      </c>
      <c r="E8" s="137">
        <v>6.4000000000000001E-2</v>
      </c>
      <c r="F8" s="137">
        <v>7.1999999999999995E-2</v>
      </c>
      <c r="G8" s="137">
        <v>8.2000000000000003E-2</v>
      </c>
      <c r="H8" s="137">
        <v>9.2999999999999999E-2</v>
      </c>
      <c r="I8" s="137">
        <v>0.104</v>
      </c>
      <c r="J8" s="137">
        <v>0.113</v>
      </c>
      <c r="K8" s="138">
        <v>0.121</v>
      </c>
      <c r="L8" s="141">
        <v>5.3773584905660379E-2</v>
      </c>
      <c r="M8" s="142">
        <v>5.5924528301886788E-2</v>
      </c>
      <c r="N8" s="142">
        <v>6.1301886792452832E-2</v>
      </c>
      <c r="O8" s="142">
        <v>6.8830188679245285E-2</v>
      </c>
      <c r="P8" s="142">
        <v>7.7433962264150932E-2</v>
      </c>
      <c r="Q8" s="142">
        <v>8.8188679245283022E-2</v>
      </c>
      <c r="R8" s="142">
        <v>0.1000188679245283</v>
      </c>
      <c r="S8" s="142">
        <v>0.11184905660377358</v>
      </c>
      <c r="T8" s="142">
        <v>0.12152830188679245</v>
      </c>
      <c r="U8" s="143">
        <v>0.13013207547169811</v>
      </c>
    </row>
    <row r="9" spans="1:21" ht="18" customHeight="1" x14ac:dyDescent="0.35">
      <c r="A9" s="17" t="s">
        <v>13</v>
      </c>
      <c r="B9" s="132">
        <v>9.5000000000000001E-2</v>
      </c>
      <c r="C9" s="133">
        <v>0.10199999999999999</v>
      </c>
      <c r="D9" s="133">
        <v>0.113</v>
      </c>
      <c r="E9" s="133">
        <v>0.124</v>
      </c>
      <c r="F9" s="133">
        <v>0.13600000000000001</v>
      </c>
      <c r="G9" s="133">
        <v>0.14399999999999999</v>
      </c>
      <c r="H9" s="133">
        <v>0.151</v>
      </c>
      <c r="I9" s="133">
        <v>0.16</v>
      </c>
      <c r="J9" s="133">
        <v>0.16700000000000001</v>
      </c>
      <c r="K9" s="134">
        <v>0.17399999999999999</v>
      </c>
      <c r="L9" s="141">
        <v>8.9207317073170742E-2</v>
      </c>
      <c r="M9" s="142">
        <v>9.5780487804878051E-2</v>
      </c>
      <c r="N9" s="142">
        <v>0.10610975609756099</v>
      </c>
      <c r="O9" s="142">
        <v>0.11643902439024391</v>
      </c>
      <c r="P9" s="142">
        <v>0.12770731707317076</v>
      </c>
      <c r="Q9" s="142">
        <v>0.13521951219512196</v>
      </c>
      <c r="R9" s="142">
        <v>0.14179268292682928</v>
      </c>
      <c r="S9" s="142">
        <v>0.15024390243902441</v>
      </c>
      <c r="T9" s="142">
        <v>0.15681707317073174</v>
      </c>
      <c r="U9" s="143">
        <v>0.16339024390243903</v>
      </c>
    </row>
    <row r="10" spans="1:21" ht="18" customHeight="1" x14ac:dyDescent="0.35">
      <c r="A10" s="17" t="s">
        <v>14</v>
      </c>
      <c r="B10" s="132">
        <v>0.108822081565422</v>
      </c>
      <c r="C10" s="133">
        <v>0.117335551</v>
      </c>
      <c r="D10" s="133">
        <v>0.125933569</v>
      </c>
      <c r="E10" s="133">
        <v>0.13580382599999999</v>
      </c>
      <c r="F10" s="133">
        <v>0.14506158299999999</v>
      </c>
      <c r="G10" s="133">
        <v>0.153304621</v>
      </c>
      <c r="H10" s="133">
        <v>0.160929353</v>
      </c>
      <c r="I10" s="133">
        <v>0.17005479000000001</v>
      </c>
      <c r="J10" s="133">
        <v>0.178221611</v>
      </c>
      <c r="K10" s="134">
        <v>0.18661521</v>
      </c>
      <c r="L10" s="141">
        <v>7.2548054376948015E-2</v>
      </c>
      <c r="M10" s="142">
        <v>7.8223700666666673E-2</v>
      </c>
      <c r="N10" s="142">
        <v>8.3955712666666668E-2</v>
      </c>
      <c r="O10" s="142">
        <v>9.0535883999999997E-2</v>
      </c>
      <c r="P10" s="142">
        <v>9.670772200000001E-2</v>
      </c>
      <c r="Q10" s="142">
        <v>0.10220308066666668</v>
      </c>
      <c r="R10" s="142">
        <v>0.10728623533333334</v>
      </c>
      <c r="S10" s="142">
        <v>0.11336986000000002</v>
      </c>
      <c r="T10" s="142">
        <v>0.11881440733333334</v>
      </c>
      <c r="U10" s="143">
        <v>0.12441014000000002</v>
      </c>
    </row>
    <row r="11" spans="1:21" ht="18" customHeight="1" x14ac:dyDescent="0.35">
      <c r="A11" s="18" t="s">
        <v>15</v>
      </c>
      <c r="B11" s="136">
        <v>0.11700000000000001</v>
      </c>
      <c r="C11" s="137">
        <v>0.122</v>
      </c>
      <c r="D11" s="137">
        <v>0.127</v>
      </c>
      <c r="E11" s="137">
        <v>0.13500000000000001</v>
      </c>
      <c r="F11" s="137">
        <v>0.14599999999999999</v>
      </c>
      <c r="G11" s="137">
        <v>0.158</v>
      </c>
      <c r="H11" s="137">
        <v>0.17299999999999999</v>
      </c>
      <c r="I11" s="137">
        <v>0.183</v>
      </c>
      <c r="J11" s="137">
        <v>0.192</v>
      </c>
      <c r="K11" s="138">
        <v>0.20100000000000001</v>
      </c>
      <c r="L11" s="141">
        <v>0.10549180327868853</v>
      </c>
      <c r="M11" s="142">
        <v>0.11</v>
      </c>
      <c r="N11" s="142">
        <v>0.11450819672131148</v>
      </c>
      <c r="O11" s="142">
        <v>0.12172131147540985</v>
      </c>
      <c r="P11" s="142">
        <v>0.13383333333333333</v>
      </c>
      <c r="Q11" s="142">
        <v>0.13825000000000001</v>
      </c>
      <c r="R11" s="142">
        <v>0.14528176795580106</v>
      </c>
      <c r="S11" s="142">
        <v>0.15367955801104968</v>
      </c>
      <c r="T11" s="142">
        <v>0.16123756906077347</v>
      </c>
      <c r="U11" s="143">
        <v>0.16879558011049722</v>
      </c>
    </row>
    <row r="12" spans="1:21" ht="18" customHeight="1" x14ac:dyDescent="0.35">
      <c r="A12" s="18" t="s">
        <v>17</v>
      </c>
      <c r="B12" s="136">
        <v>0.127</v>
      </c>
      <c r="C12" s="137">
        <v>0.14399999999999999</v>
      </c>
      <c r="D12" s="137">
        <v>0.16600000000000001</v>
      </c>
      <c r="E12" s="137">
        <v>0.192</v>
      </c>
      <c r="F12" s="137">
        <v>0.21199999999999999</v>
      </c>
      <c r="G12" s="137">
        <v>0.23100000000000001</v>
      </c>
      <c r="H12" s="137">
        <v>0.247</v>
      </c>
      <c r="I12" s="137">
        <v>0.25700000000000001</v>
      </c>
      <c r="J12" s="137">
        <v>0.26800000000000002</v>
      </c>
      <c r="K12" s="138">
        <v>0.27700000000000002</v>
      </c>
      <c r="L12" s="141">
        <v>9.1000000000000011E-2</v>
      </c>
      <c r="M12" s="142">
        <v>0.10318110236220472</v>
      </c>
      <c r="N12" s="142">
        <v>0.11894488188976379</v>
      </c>
      <c r="O12" s="142">
        <v>0.13757480314960632</v>
      </c>
      <c r="P12" s="142">
        <v>0.15190551181102363</v>
      </c>
      <c r="Q12" s="142">
        <v>0.16551968503937009</v>
      </c>
      <c r="R12" s="142">
        <v>0.17698425196850395</v>
      </c>
      <c r="S12" s="142">
        <v>0.18414960629921262</v>
      </c>
      <c r="T12" s="142">
        <v>0.19203149606299216</v>
      </c>
      <c r="U12" s="143">
        <v>0.19848031496062996</v>
      </c>
    </row>
    <row r="13" spans="1:21" ht="18" customHeight="1" x14ac:dyDescent="0.35">
      <c r="A13" s="17" t="s">
        <v>19</v>
      </c>
      <c r="B13" s="135">
        <v>0.14799999999999999</v>
      </c>
      <c r="C13" s="139">
        <v>0.156</v>
      </c>
      <c r="D13" s="139">
        <v>0.16400000000000001</v>
      </c>
      <c r="E13" s="139">
        <v>0.17299999999999999</v>
      </c>
      <c r="F13" s="139">
        <v>0.184</v>
      </c>
      <c r="G13" s="139">
        <v>0.192</v>
      </c>
      <c r="H13" s="139">
        <v>0.20100000000000001</v>
      </c>
      <c r="I13" s="139">
        <v>0.20899999999999999</v>
      </c>
      <c r="J13" s="139">
        <v>0.22</v>
      </c>
      <c r="K13" s="140">
        <v>0.23100000000000001</v>
      </c>
      <c r="L13" s="141">
        <v>0.13071028037383178</v>
      </c>
      <c r="M13" s="142">
        <v>0.13777570093457944</v>
      </c>
      <c r="N13" s="142">
        <v>0.1448411214953271</v>
      </c>
      <c r="O13" s="142">
        <v>0.15278971962616822</v>
      </c>
      <c r="P13" s="142">
        <v>0.16250467289719628</v>
      </c>
      <c r="Q13" s="142">
        <v>0.16957009345794394</v>
      </c>
      <c r="R13" s="142">
        <v>0.17751869158878505</v>
      </c>
      <c r="S13" s="142">
        <v>0.18458411214953271</v>
      </c>
      <c r="T13" s="142">
        <v>0.19429906542056075</v>
      </c>
      <c r="U13" s="143">
        <v>0.20401401869158881</v>
      </c>
    </row>
    <row r="14" spans="1:21" ht="31.5" thickBot="1" x14ac:dyDescent="0.4">
      <c r="A14" s="85" t="s">
        <v>38</v>
      </c>
      <c r="B14" s="540"/>
      <c r="C14" s="541"/>
      <c r="D14" s="541"/>
      <c r="E14" s="541"/>
      <c r="F14" s="541"/>
      <c r="G14" s="541"/>
      <c r="H14" s="541"/>
      <c r="I14" s="541"/>
      <c r="J14" s="541"/>
      <c r="K14" s="542"/>
      <c r="L14" s="144">
        <v>0.10550440197071043</v>
      </c>
      <c r="M14" s="145">
        <v>0.11243769169517789</v>
      </c>
      <c r="N14" s="145">
        <v>0.12152154655996222</v>
      </c>
      <c r="O14" s="145">
        <v>0.13106579371523128</v>
      </c>
      <c r="P14" s="145">
        <v>0.14266487808160355</v>
      </c>
      <c r="Q14" s="145">
        <v>0.15391226887822856</v>
      </c>
      <c r="R14" s="145">
        <v>0.16589696316234334</v>
      </c>
      <c r="S14" s="145">
        <v>0.17559099602374867</v>
      </c>
      <c r="T14" s="145">
        <v>0.18334382588826512</v>
      </c>
      <c r="U14" s="146">
        <v>0.19134321428730006</v>
      </c>
    </row>
    <row r="16" spans="1:21" x14ac:dyDescent="0.35">
      <c r="A16" s="90" t="s">
        <v>260</v>
      </c>
    </row>
  </sheetData>
  <mergeCells count="4">
    <mergeCell ref="B2:K3"/>
    <mergeCell ref="L2:U3"/>
    <mergeCell ref="A2:A4"/>
    <mergeCell ref="B14:K14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E4CF78D-E999-4BD9-9423-1E24DB0B627E}">
            <xm:f>ABS(B5-'\Users\jwilliamson\Dropbox\FPET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B5:U13</xm:sqref>
        </x14:conditionalFormatting>
        <x14:conditionalFormatting xmlns:xm="http://schemas.microsoft.com/office/excel/2006/main">
          <x14:cfRule type="expression" priority="1" id="{C581C0C7-8350-4D38-991F-2B128519A9AF}">
            <xm:f>ABS(B14-'\Users\jwilliamson\Dropbox\FPET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03D63-B962-4818-B639-2A0BDB7053FB}">
  <sheetPr>
    <tabColor theme="6"/>
  </sheetPr>
  <dimension ref="A1:U16"/>
  <sheetViews>
    <sheetView showGridLines="0" workbookViewId="0">
      <pane xSplit="1" ySplit="4" topLeftCell="B5" activePane="bottomRight" state="frozen"/>
      <selection activeCell="C32" sqref="C32"/>
      <selection pane="topRight" activeCell="C32" sqref="C32"/>
      <selection pane="bottomLeft" activeCell="C32" sqref="C32"/>
      <selection pane="bottomRight" activeCell="C32" sqref="C32"/>
    </sheetView>
  </sheetViews>
  <sheetFormatPr defaultRowHeight="14.5" x14ac:dyDescent="0.35"/>
  <cols>
    <col min="1" max="1" width="21.6328125" customWidth="1"/>
  </cols>
  <sheetData>
    <row r="1" spans="1:21" x14ac:dyDescent="0.35">
      <c r="A1" s="19"/>
      <c r="B1" s="75"/>
      <c r="C1" s="76"/>
      <c r="D1" s="76"/>
      <c r="E1" s="76"/>
      <c r="F1" s="76"/>
      <c r="G1" s="76"/>
      <c r="H1" s="76"/>
      <c r="I1" s="76"/>
      <c r="J1" s="76"/>
      <c r="K1" s="77"/>
      <c r="L1" s="80"/>
      <c r="M1" s="81"/>
      <c r="N1" s="81"/>
      <c r="O1" s="81"/>
      <c r="P1" s="81"/>
      <c r="Q1" s="81"/>
      <c r="R1" s="81"/>
      <c r="S1" s="81"/>
      <c r="T1" s="81"/>
      <c r="U1" s="82"/>
    </row>
    <row r="2" spans="1:21" ht="15.75" customHeight="1" x14ac:dyDescent="0.35">
      <c r="A2" s="539" t="s">
        <v>27</v>
      </c>
      <c r="B2" s="533" t="s">
        <v>204</v>
      </c>
      <c r="C2" s="534"/>
      <c r="D2" s="534"/>
      <c r="E2" s="534"/>
      <c r="F2" s="534"/>
      <c r="G2" s="534"/>
      <c r="H2" s="534"/>
      <c r="I2" s="534"/>
      <c r="J2" s="534"/>
      <c r="K2" s="535"/>
      <c r="L2" s="536" t="s">
        <v>205</v>
      </c>
      <c r="M2" s="537"/>
      <c r="N2" s="537"/>
      <c r="O2" s="537"/>
      <c r="P2" s="537"/>
      <c r="Q2" s="537"/>
      <c r="R2" s="537"/>
      <c r="S2" s="537"/>
      <c r="T2" s="537"/>
      <c r="U2" s="538"/>
    </row>
    <row r="3" spans="1:21" ht="15.75" customHeight="1" x14ac:dyDescent="0.35">
      <c r="A3" s="539"/>
      <c r="B3" s="533"/>
      <c r="C3" s="534"/>
      <c r="D3" s="534"/>
      <c r="E3" s="534"/>
      <c r="F3" s="534"/>
      <c r="G3" s="534"/>
      <c r="H3" s="534"/>
      <c r="I3" s="534"/>
      <c r="J3" s="534"/>
      <c r="K3" s="535"/>
      <c r="L3" s="536"/>
      <c r="M3" s="537"/>
      <c r="N3" s="537"/>
      <c r="O3" s="537"/>
      <c r="P3" s="537"/>
      <c r="Q3" s="537"/>
      <c r="R3" s="537"/>
      <c r="S3" s="537"/>
      <c r="T3" s="537"/>
      <c r="U3" s="538"/>
    </row>
    <row r="4" spans="1:21" x14ac:dyDescent="0.35">
      <c r="A4" s="539"/>
      <c r="B4" s="78">
        <v>2011.5</v>
      </c>
      <c r="C4" s="5">
        <v>2012.5</v>
      </c>
      <c r="D4" s="5">
        <v>2013.5</v>
      </c>
      <c r="E4" s="5">
        <v>2014.5</v>
      </c>
      <c r="F4" s="5">
        <v>2015.5</v>
      </c>
      <c r="G4" s="5">
        <v>2016.5</v>
      </c>
      <c r="H4" s="5">
        <v>2017.5</v>
      </c>
      <c r="I4" s="5">
        <v>2018.5</v>
      </c>
      <c r="J4" s="5">
        <v>2019.5</v>
      </c>
      <c r="K4" s="79">
        <v>2020.5</v>
      </c>
      <c r="L4" s="83">
        <v>2011.5</v>
      </c>
      <c r="M4" s="20">
        <v>2012.5</v>
      </c>
      <c r="N4" s="20">
        <v>2013.5</v>
      </c>
      <c r="O4" s="20">
        <v>2014.5</v>
      </c>
      <c r="P4" s="20">
        <v>2015.5</v>
      </c>
      <c r="Q4" s="20">
        <v>2016.5</v>
      </c>
      <c r="R4" s="20">
        <v>2017.5</v>
      </c>
      <c r="S4" s="20">
        <v>2018.5</v>
      </c>
      <c r="T4" s="20">
        <v>2019.5</v>
      </c>
      <c r="U4" s="84">
        <v>2020.5</v>
      </c>
    </row>
    <row r="5" spans="1:21" ht="18" customHeight="1" x14ac:dyDescent="0.35">
      <c r="A5" s="17" t="s">
        <v>7</v>
      </c>
      <c r="B5" s="277">
        <v>0.377</v>
      </c>
      <c r="C5" s="278">
        <v>0.38</v>
      </c>
      <c r="D5" s="278">
        <v>0.377</v>
      </c>
      <c r="E5" s="278">
        <v>0.374</v>
      </c>
      <c r="F5" s="278">
        <v>0.37</v>
      </c>
      <c r="G5" s="278">
        <v>0.36599999999999999</v>
      </c>
      <c r="H5" s="278">
        <v>0.36199999999999999</v>
      </c>
      <c r="I5" s="278">
        <v>0.35799999999999998</v>
      </c>
      <c r="J5" s="278">
        <v>0.35499999999999998</v>
      </c>
      <c r="K5" s="279">
        <v>0.35299999999999998</v>
      </c>
      <c r="L5" s="280">
        <v>0.16600000000000001</v>
      </c>
      <c r="M5" s="281">
        <v>0.17399999999999999</v>
      </c>
      <c r="N5" s="281">
        <v>0.189</v>
      </c>
      <c r="O5" s="281">
        <v>0.20499999999999999</v>
      </c>
      <c r="P5" s="281">
        <v>0.217</v>
      </c>
      <c r="Q5" s="281">
        <v>0.23200000000000001</v>
      </c>
      <c r="R5" s="281">
        <v>0.245</v>
      </c>
      <c r="S5" s="281">
        <v>0.25900000000000001</v>
      </c>
      <c r="T5" s="281">
        <v>0.27200000000000002</v>
      </c>
      <c r="U5" s="282">
        <v>0.28499999999999998</v>
      </c>
    </row>
    <row r="6" spans="1:21" ht="18" customHeight="1" x14ac:dyDescent="0.35">
      <c r="A6" s="17" t="s">
        <v>9</v>
      </c>
      <c r="B6" s="277">
        <v>0.27800000000000002</v>
      </c>
      <c r="C6" s="278">
        <v>0.27700000000000002</v>
      </c>
      <c r="D6" s="278">
        <v>0.27600000000000002</v>
      </c>
      <c r="E6" s="278">
        <v>0.27400000000000002</v>
      </c>
      <c r="F6" s="278">
        <v>0.27200000000000002</v>
      </c>
      <c r="G6" s="278">
        <v>0.26700000000000002</v>
      </c>
      <c r="H6" s="278">
        <v>0.26</v>
      </c>
      <c r="I6" s="278">
        <v>0.25600000000000001</v>
      </c>
      <c r="J6" s="278">
        <v>0.255</v>
      </c>
      <c r="K6" s="279">
        <v>0.251</v>
      </c>
      <c r="L6" s="280">
        <v>0.378</v>
      </c>
      <c r="M6" s="281">
        <v>0.39600000000000002</v>
      </c>
      <c r="N6" s="281">
        <v>0.41699999999999998</v>
      </c>
      <c r="O6" s="281">
        <v>0.438</v>
      </c>
      <c r="P6" s="281">
        <v>0.46200000000000002</v>
      </c>
      <c r="Q6" s="281">
        <v>0.48799999999999999</v>
      </c>
      <c r="R6" s="281">
        <v>0.51600000000000001</v>
      </c>
      <c r="S6" s="281">
        <v>0.53200000000000003</v>
      </c>
      <c r="T6" s="281">
        <v>0.53800000000000003</v>
      </c>
      <c r="U6" s="282">
        <v>0.54800000000000004</v>
      </c>
    </row>
    <row r="7" spans="1:21" ht="18" customHeight="1" x14ac:dyDescent="0.35">
      <c r="A7" s="17" t="s">
        <v>10</v>
      </c>
      <c r="B7" s="283">
        <v>0.32600000000000001</v>
      </c>
      <c r="C7" s="284">
        <v>0.32200000000000001</v>
      </c>
      <c r="D7" s="284">
        <v>0.318</v>
      </c>
      <c r="E7" s="284">
        <v>0.317</v>
      </c>
      <c r="F7" s="284">
        <v>0.313</v>
      </c>
      <c r="G7" s="284">
        <v>0.31</v>
      </c>
      <c r="H7" s="284">
        <v>0.307</v>
      </c>
      <c r="I7" s="284">
        <v>0.30499999999999999</v>
      </c>
      <c r="J7" s="284">
        <v>0.30199999999999999</v>
      </c>
      <c r="K7" s="285">
        <v>0.29899999999999999</v>
      </c>
      <c r="L7" s="280">
        <v>0.27300000000000002</v>
      </c>
      <c r="M7" s="281">
        <v>0.28199999999999997</v>
      </c>
      <c r="N7" s="281">
        <v>0.29699999999999999</v>
      </c>
      <c r="O7" s="281">
        <v>0.30199999999999999</v>
      </c>
      <c r="P7" s="281">
        <v>0.32</v>
      </c>
      <c r="Q7" s="281">
        <v>0.34300000000000003</v>
      </c>
      <c r="R7" s="281">
        <v>0.36799999999999999</v>
      </c>
      <c r="S7" s="281">
        <v>0.38500000000000001</v>
      </c>
      <c r="T7" s="281">
        <v>0.4</v>
      </c>
      <c r="U7" s="282">
        <v>0.41299999999999998</v>
      </c>
    </row>
    <row r="8" spans="1:21" ht="18" customHeight="1" x14ac:dyDescent="0.35">
      <c r="A8" s="17" t="s">
        <v>11</v>
      </c>
      <c r="B8" s="277">
        <v>0.24399999999999999</v>
      </c>
      <c r="C8" s="278">
        <v>0.24399999999999999</v>
      </c>
      <c r="D8" s="278">
        <v>0.24199999999999999</v>
      </c>
      <c r="E8" s="278">
        <v>0.24</v>
      </c>
      <c r="F8" s="278">
        <v>0.23799999999999999</v>
      </c>
      <c r="G8" s="278">
        <v>0.23599999999999999</v>
      </c>
      <c r="H8" s="278">
        <v>0.23200000000000001</v>
      </c>
      <c r="I8" s="278">
        <v>0.22800000000000001</v>
      </c>
      <c r="J8" s="278">
        <v>0.22900000000000001</v>
      </c>
      <c r="K8" s="279">
        <v>0.23100000000000001</v>
      </c>
      <c r="L8" s="280">
        <v>0.17199999999999999</v>
      </c>
      <c r="M8" s="281">
        <v>0.17499999999999999</v>
      </c>
      <c r="N8" s="281">
        <v>0.19</v>
      </c>
      <c r="O8" s="281">
        <v>0.21</v>
      </c>
      <c r="P8" s="281">
        <v>0.23200000000000001</v>
      </c>
      <c r="Q8" s="281">
        <v>0.25800000000000001</v>
      </c>
      <c r="R8" s="281">
        <v>0.28499999999999998</v>
      </c>
      <c r="S8" s="281">
        <v>0.314</v>
      </c>
      <c r="T8" s="281">
        <v>0.33200000000000002</v>
      </c>
      <c r="U8" s="282">
        <v>0.34399999999999997</v>
      </c>
    </row>
    <row r="9" spans="1:21" ht="18" customHeight="1" x14ac:dyDescent="0.35">
      <c r="A9" s="17" t="s">
        <v>13</v>
      </c>
      <c r="B9" s="283">
        <v>0.26800000000000002</v>
      </c>
      <c r="C9" s="284">
        <v>0.26500000000000001</v>
      </c>
      <c r="D9" s="284">
        <v>0.26400000000000001</v>
      </c>
      <c r="E9" s="284">
        <v>0.26300000000000001</v>
      </c>
      <c r="F9" s="284">
        <v>0.26100000000000001</v>
      </c>
      <c r="G9" s="284">
        <v>0.25700000000000001</v>
      </c>
      <c r="H9" s="284">
        <v>0.253</v>
      </c>
      <c r="I9" s="284">
        <v>0.249</v>
      </c>
      <c r="J9" s="284">
        <v>0.248</v>
      </c>
      <c r="K9" s="285">
        <v>0.248</v>
      </c>
      <c r="L9" s="280">
        <v>0.26200000000000001</v>
      </c>
      <c r="M9" s="281">
        <v>0.27800000000000002</v>
      </c>
      <c r="N9" s="281">
        <v>0.29899999999999999</v>
      </c>
      <c r="O9" s="281">
        <v>0.32200000000000001</v>
      </c>
      <c r="P9" s="281">
        <v>0.34200000000000003</v>
      </c>
      <c r="Q9" s="281">
        <v>0.36</v>
      </c>
      <c r="R9" s="281">
        <v>0.374</v>
      </c>
      <c r="S9" s="281">
        <v>0.39100000000000001</v>
      </c>
      <c r="T9" s="281">
        <v>0.40300000000000002</v>
      </c>
      <c r="U9" s="282">
        <v>0.41299999999999998</v>
      </c>
    </row>
    <row r="10" spans="1:21" ht="18" customHeight="1" x14ac:dyDescent="0.35">
      <c r="A10" s="17" t="s">
        <v>14</v>
      </c>
      <c r="B10" s="283">
        <v>0.32278804903317898</v>
      </c>
      <c r="C10" s="284">
        <v>0.32136632999999998</v>
      </c>
      <c r="D10" s="284">
        <v>0.32039381700000003</v>
      </c>
      <c r="E10" s="284">
        <v>0.319477974</v>
      </c>
      <c r="F10" s="284">
        <v>0.31755925800000001</v>
      </c>
      <c r="G10" s="284">
        <v>0.31521813500000001</v>
      </c>
      <c r="H10" s="284">
        <v>0.31247420999999997</v>
      </c>
      <c r="I10" s="284">
        <v>0.30914538800000002</v>
      </c>
      <c r="J10" s="284">
        <v>0.30649116900000001</v>
      </c>
      <c r="K10" s="285">
        <v>0.30444751599999997</v>
      </c>
      <c r="L10" s="280">
        <v>0.25132278347913101</v>
      </c>
      <c r="M10" s="281">
        <v>0.26627452099999999</v>
      </c>
      <c r="N10" s="281">
        <v>0.28250604400000001</v>
      </c>
      <c r="O10" s="281">
        <v>0.29891883299999999</v>
      </c>
      <c r="P10" s="281">
        <v>0.31353008500000001</v>
      </c>
      <c r="Q10" s="281">
        <v>0.32800209299999999</v>
      </c>
      <c r="R10" s="281">
        <v>0.34133070500000001</v>
      </c>
      <c r="S10" s="281">
        <v>0.35336626599999998</v>
      </c>
      <c r="T10" s="281">
        <v>0.36549079200000001</v>
      </c>
      <c r="U10" s="282">
        <v>0.38059452500000002</v>
      </c>
    </row>
    <row r="11" spans="1:21" ht="18" customHeight="1" x14ac:dyDescent="0.35">
      <c r="A11" s="18" t="s">
        <v>15</v>
      </c>
      <c r="B11" s="277">
        <v>0.17899999999999999</v>
      </c>
      <c r="C11" s="278">
        <v>0.17899999999999999</v>
      </c>
      <c r="D11" s="278">
        <v>0.183</v>
      </c>
      <c r="E11" s="278">
        <v>0.187</v>
      </c>
      <c r="F11" s="278">
        <v>0.191</v>
      </c>
      <c r="G11" s="278">
        <v>0.19500000000000001</v>
      </c>
      <c r="H11" s="278">
        <v>0.19600000000000001</v>
      </c>
      <c r="I11" s="278">
        <v>0.19600000000000001</v>
      </c>
      <c r="J11" s="278">
        <v>0.19700000000000001</v>
      </c>
      <c r="K11" s="279">
        <v>0.19700000000000001</v>
      </c>
      <c r="L11" s="280">
        <v>0.39600000000000002</v>
      </c>
      <c r="M11" s="281">
        <v>0.40400000000000003</v>
      </c>
      <c r="N11" s="281">
        <v>0.41</v>
      </c>
      <c r="O11" s="281">
        <v>0.42099999999999999</v>
      </c>
      <c r="P11" s="281">
        <v>0.434</v>
      </c>
      <c r="Q11" s="281">
        <v>0.44700000000000001</v>
      </c>
      <c r="R11" s="281">
        <v>0.46899999999999997</v>
      </c>
      <c r="S11" s="281">
        <v>0.48299999999999998</v>
      </c>
      <c r="T11" s="281">
        <v>0.49399999999999999</v>
      </c>
      <c r="U11" s="282">
        <v>0.505</v>
      </c>
    </row>
    <row r="12" spans="1:21" ht="18" customHeight="1" x14ac:dyDescent="0.35">
      <c r="A12" s="18" t="s">
        <v>17</v>
      </c>
      <c r="B12" s="277">
        <v>0.312</v>
      </c>
      <c r="C12" s="278">
        <v>0.307</v>
      </c>
      <c r="D12" s="278">
        <v>0.30199999999999999</v>
      </c>
      <c r="E12" s="278">
        <v>0.28100000000000003</v>
      </c>
      <c r="F12" s="278">
        <v>0.27</v>
      </c>
      <c r="G12" s="278">
        <v>0.255</v>
      </c>
      <c r="H12" s="278">
        <v>0.24</v>
      </c>
      <c r="I12" s="278">
        <v>0.22700000000000001</v>
      </c>
      <c r="J12" s="278">
        <v>0.22600000000000001</v>
      </c>
      <c r="K12" s="279">
        <v>0.224</v>
      </c>
      <c r="L12" s="280">
        <v>0.28899999999999998</v>
      </c>
      <c r="M12" s="281">
        <v>0.31900000000000001</v>
      </c>
      <c r="N12" s="281">
        <v>0.35399999999999998</v>
      </c>
      <c r="O12" s="281">
        <v>0.40600000000000003</v>
      </c>
      <c r="P12" s="281">
        <v>0.44</v>
      </c>
      <c r="Q12" s="281">
        <v>0.47399999999999998</v>
      </c>
      <c r="R12" s="281">
        <v>0.50800000000000001</v>
      </c>
      <c r="S12" s="281">
        <v>0.53200000000000003</v>
      </c>
      <c r="T12" s="281">
        <v>0.54200000000000004</v>
      </c>
      <c r="U12" s="282">
        <v>0.55200000000000005</v>
      </c>
    </row>
    <row r="13" spans="1:21" ht="18" customHeight="1" x14ac:dyDescent="0.35">
      <c r="A13" s="17" t="s">
        <v>19</v>
      </c>
      <c r="B13" s="286">
        <v>0.374</v>
      </c>
      <c r="C13" s="287">
        <v>0.37</v>
      </c>
      <c r="D13" s="287">
        <v>0.36699999999999999</v>
      </c>
      <c r="E13" s="287">
        <v>0.36399999999999999</v>
      </c>
      <c r="F13" s="287">
        <v>0.36099999999999999</v>
      </c>
      <c r="G13" s="287">
        <v>0.35799999999999998</v>
      </c>
      <c r="H13" s="287">
        <v>0.35499999999999998</v>
      </c>
      <c r="I13" s="287">
        <v>0.35099999999999998</v>
      </c>
      <c r="J13" s="287">
        <v>0.34699999999999998</v>
      </c>
      <c r="K13" s="288">
        <v>0.34300000000000003</v>
      </c>
      <c r="L13" s="280">
        <v>0.28299999999999997</v>
      </c>
      <c r="M13" s="281">
        <v>0.29699999999999999</v>
      </c>
      <c r="N13" s="281">
        <v>0.309</v>
      </c>
      <c r="O13" s="281">
        <v>0.32300000000000001</v>
      </c>
      <c r="P13" s="281">
        <v>0.33600000000000002</v>
      </c>
      <c r="Q13" s="281">
        <v>0.34899999999999998</v>
      </c>
      <c r="R13" s="281">
        <v>0.36</v>
      </c>
      <c r="S13" s="281">
        <v>0.372</v>
      </c>
      <c r="T13" s="281">
        <v>0.38800000000000001</v>
      </c>
      <c r="U13" s="282">
        <v>0.40200000000000002</v>
      </c>
    </row>
    <row r="14" spans="1:21" ht="31.5" thickBot="1" x14ac:dyDescent="0.4">
      <c r="A14" s="85" t="s">
        <v>38</v>
      </c>
      <c r="B14" s="540"/>
      <c r="C14" s="541"/>
      <c r="D14" s="541"/>
      <c r="E14" s="541"/>
      <c r="F14" s="541"/>
      <c r="G14" s="541"/>
      <c r="H14" s="541"/>
      <c r="I14" s="541"/>
      <c r="J14" s="541"/>
      <c r="K14" s="542"/>
      <c r="L14" s="144"/>
      <c r="M14" s="145"/>
      <c r="N14" s="145"/>
      <c r="O14" s="145"/>
      <c r="P14" s="145"/>
      <c r="Q14" s="145"/>
      <c r="R14" s="145"/>
      <c r="S14" s="145"/>
      <c r="T14" s="145"/>
      <c r="U14" s="146"/>
    </row>
    <row r="16" spans="1:21" x14ac:dyDescent="0.35">
      <c r="A16" s="90" t="s">
        <v>260</v>
      </c>
    </row>
  </sheetData>
  <mergeCells count="4">
    <mergeCell ref="A2:A4"/>
    <mergeCell ref="B2:K3"/>
    <mergeCell ref="L2:U3"/>
    <mergeCell ref="B14:K14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4950B94-7E56-4F32-8FD6-B5EF708AEECA}">
            <xm:f>ABS(B5-'\Users\jwilliamson\Dropbox\FPET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B5:U13</xm:sqref>
        </x14:conditionalFormatting>
        <x14:conditionalFormatting xmlns:xm="http://schemas.microsoft.com/office/excel/2006/main">
          <x14:cfRule type="expression" priority="1" id="{FB6AE409-3BBE-45C9-82CF-38FFF3654511}">
            <xm:f>ABS(B14-'\Users\jwilliamson\Dropbox\FPET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27487-9797-46ED-A0BD-8885C89E4710}">
  <sheetPr>
    <tabColor theme="6"/>
  </sheetPr>
  <dimension ref="A1:AE37"/>
  <sheetViews>
    <sheetView showGridLines="0" workbookViewId="0">
      <pane xSplit="1" ySplit="4" topLeftCell="Q5" activePane="bottomRight" state="frozen"/>
      <selection activeCell="C32" sqref="C32"/>
      <selection pane="topRight" activeCell="C32" sqref="C32"/>
      <selection pane="bottomLeft" activeCell="C32" sqref="C32"/>
      <selection pane="bottomRight" activeCell="C32" sqref="C32"/>
    </sheetView>
  </sheetViews>
  <sheetFormatPr defaultRowHeight="14.5" x14ac:dyDescent="0.35"/>
  <cols>
    <col min="1" max="1" width="18.6328125" style="13" customWidth="1"/>
    <col min="2" max="11" width="14.08984375" style="1" customWidth="1"/>
    <col min="12" max="31" width="12.08984375" style="1" customWidth="1"/>
  </cols>
  <sheetData>
    <row r="1" spans="1:31" ht="15" customHeight="1" x14ac:dyDescent="0.35">
      <c r="A1" s="19"/>
      <c r="B1" s="43"/>
      <c r="C1" s="44"/>
      <c r="D1" s="44"/>
      <c r="E1" s="44"/>
      <c r="F1" s="44"/>
      <c r="G1" s="44"/>
      <c r="H1" s="44"/>
      <c r="I1" s="44"/>
      <c r="J1" s="44"/>
      <c r="K1" s="54"/>
      <c r="L1" s="45"/>
      <c r="M1" s="46"/>
      <c r="N1" s="46"/>
      <c r="O1" s="46"/>
      <c r="P1" s="46"/>
      <c r="Q1" s="46"/>
      <c r="R1" s="46"/>
      <c r="S1" s="46"/>
      <c r="T1" s="46"/>
      <c r="U1" s="50"/>
      <c r="V1" s="67"/>
      <c r="W1" s="68"/>
      <c r="X1" s="68"/>
      <c r="Y1" s="68"/>
      <c r="Z1" s="68"/>
      <c r="AA1" s="68"/>
      <c r="AB1" s="68"/>
      <c r="AC1" s="68"/>
      <c r="AD1" s="68"/>
      <c r="AE1" s="69"/>
    </row>
    <row r="2" spans="1:31" ht="12.75" customHeight="1" x14ac:dyDescent="0.35">
      <c r="A2" s="319" t="s">
        <v>27</v>
      </c>
      <c r="B2" s="543" t="s">
        <v>28</v>
      </c>
      <c r="C2" s="544"/>
      <c r="D2" s="544"/>
      <c r="E2" s="544"/>
      <c r="F2" s="544"/>
      <c r="G2" s="544"/>
      <c r="H2" s="544"/>
      <c r="I2" s="544"/>
      <c r="J2" s="544"/>
      <c r="K2" s="545"/>
      <c r="L2" s="546" t="s">
        <v>29</v>
      </c>
      <c r="M2" s="547"/>
      <c r="N2" s="547"/>
      <c r="O2" s="547"/>
      <c r="P2" s="547"/>
      <c r="Q2" s="547"/>
      <c r="R2" s="547"/>
      <c r="S2" s="547"/>
      <c r="T2" s="547"/>
      <c r="U2" s="548"/>
      <c r="V2" s="549" t="s">
        <v>30</v>
      </c>
      <c r="W2" s="550"/>
      <c r="X2" s="550"/>
      <c r="Y2" s="550"/>
      <c r="Z2" s="550"/>
      <c r="AA2" s="550"/>
      <c r="AB2" s="550"/>
      <c r="AC2" s="550"/>
      <c r="AD2" s="550"/>
      <c r="AE2" s="551"/>
    </row>
    <row r="3" spans="1:31" ht="12.75" customHeight="1" x14ac:dyDescent="0.35">
      <c r="A3" s="319"/>
      <c r="B3" s="543"/>
      <c r="C3" s="544"/>
      <c r="D3" s="544"/>
      <c r="E3" s="544"/>
      <c r="F3" s="544"/>
      <c r="G3" s="544"/>
      <c r="H3" s="544"/>
      <c r="I3" s="544"/>
      <c r="J3" s="544"/>
      <c r="K3" s="545"/>
      <c r="L3" s="546"/>
      <c r="M3" s="547"/>
      <c r="N3" s="547"/>
      <c r="O3" s="547"/>
      <c r="P3" s="547"/>
      <c r="Q3" s="547"/>
      <c r="R3" s="547"/>
      <c r="S3" s="547"/>
      <c r="T3" s="547"/>
      <c r="U3" s="548"/>
      <c r="V3" s="549"/>
      <c r="W3" s="550"/>
      <c r="X3" s="550"/>
      <c r="Y3" s="550"/>
      <c r="Z3" s="550"/>
      <c r="AA3" s="550"/>
      <c r="AB3" s="550"/>
      <c r="AC3" s="550"/>
      <c r="AD3" s="550"/>
      <c r="AE3" s="551"/>
    </row>
    <row r="4" spans="1:31" ht="15" customHeight="1" x14ac:dyDescent="0.35">
      <c r="A4" s="319"/>
      <c r="B4" s="55" t="s">
        <v>6</v>
      </c>
      <c r="C4" s="6">
        <v>2012.5</v>
      </c>
      <c r="D4" s="6">
        <v>2013.5</v>
      </c>
      <c r="E4" s="7">
        <v>2014.5</v>
      </c>
      <c r="F4" s="7">
        <v>2015.5</v>
      </c>
      <c r="G4" s="7">
        <v>2016.5</v>
      </c>
      <c r="H4" s="7">
        <v>2017.5</v>
      </c>
      <c r="I4" s="7">
        <v>2018.5</v>
      </c>
      <c r="J4" s="7">
        <v>2019.5</v>
      </c>
      <c r="K4" s="56">
        <v>2020.5</v>
      </c>
      <c r="L4" s="62">
        <v>2011.5</v>
      </c>
      <c r="M4" s="22">
        <v>2012.5</v>
      </c>
      <c r="N4" s="22">
        <v>2013.5</v>
      </c>
      <c r="O4" s="22">
        <v>2014.5</v>
      </c>
      <c r="P4" s="22">
        <v>2015.5</v>
      </c>
      <c r="Q4" s="22">
        <v>2016.5</v>
      </c>
      <c r="R4" s="22">
        <v>2017.5</v>
      </c>
      <c r="S4" s="22">
        <v>2018.5</v>
      </c>
      <c r="T4" s="22">
        <v>2019.5</v>
      </c>
      <c r="U4" s="63">
        <v>2020.5</v>
      </c>
      <c r="V4" s="70">
        <v>2011.5</v>
      </c>
      <c r="W4" s="23">
        <v>2012.5</v>
      </c>
      <c r="X4" s="23">
        <v>2013.5</v>
      </c>
      <c r="Y4" s="23">
        <v>2014.5</v>
      </c>
      <c r="Z4" s="23">
        <v>2015.5</v>
      </c>
      <c r="AA4" s="23">
        <v>2016.5</v>
      </c>
      <c r="AB4" s="23">
        <v>2017.5</v>
      </c>
      <c r="AC4" s="23">
        <v>2018.5</v>
      </c>
      <c r="AD4" s="23">
        <v>2019.5</v>
      </c>
      <c r="AE4" s="71">
        <v>2020.5</v>
      </c>
    </row>
    <row r="5" spans="1:31" x14ac:dyDescent="0.35">
      <c r="A5" s="17" t="s">
        <v>7</v>
      </c>
      <c r="B5" s="57">
        <v>156000</v>
      </c>
      <c r="C5" s="12">
        <v>171000</v>
      </c>
      <c r="D5" s="12">
        <v>194000</v>
      </c>
      <c r="E5" s="12">
        <v>218000</v>
      </c>
      <c r="F5" s="12">
        <v>241000</v>
      </c>
      <c r="G5" s="12">
        <v>267000</v>
      </c>
      <c r="H5" s="12">
        <v>290000</v>
      </c>
      <c r="I5" s="12">
        <v>322000</v>
      </c>
      <c r="J5" s="12">
        <v>351000</v>
      </c>
      <c r="K5" s="58">
        <v>380000</v>
      </c>
      <c r="L5" s="57">
        <v>0</v>
      </c>
      <c r="M5" s="12">
        <f>C5-$B5</f>
        <v>15000</v>
      </c>
      <c r="N5" s="12">
        <f>D5-$B5</f>
        <v>38000</v>
      </c>
      <c r="O5" s="12">
        <f t="shared" ref="N5:U13" si="0">E5-$B5</f>
        <v>62000</v>
      </c>
      <c r="P5" s="12">
        <f t="shared" si="0"/>
        <v>85000</v>
      </c>
      <c r="Q5" s="12">
        <f t="shared" si="0"/>
        <v>111000</v>
      </c>
      <c r="R5" s="12">
        <f t="shared" si="0"/>
        <v>134000</v>
      </c>
      <c r="S5" s="12">
        <f t="shared" si="0"/>
        <v>166000</v>
      </c>
      <c r="T5" s="12">
        <f t="shared" si="0"/>
        <v>195000</v>
      </c>
      <c r="U5" s="12">
        <f t="shared" si="0"/>
        <v>224000</v>
      </c>
      <c r="V5" s="57">
        <v>0</v>
      </c>
      <c r="W5" s="12">
        <v>0</v>
      </c>
      <c r="X5" s="12">
        <v>0</v>
      </c>
      <c r="Y5" s="12">
        <v>0</v>
      </c>
      <c r="Z5" s="12">
        <v>0</v>
      </c>
      <c r="AA5" s="12">
        <f>G5-$F5</f>
        <v>26000</v>
      </c>
      <c r="AB5" s="12">
        <f t="shared" ref="AB5:AE13" si="1">H5-$F5</f>
        <v>49000</v>
      </c>
      <c r="AC5" s="12">
        <f t="shared" si="1"/>
        <v>81000</v>
      </c>
      <c r="AD5" s="12">
        <f t="shared" si="1"/>
        <v>110000</v>
      </c>
      <c r="AE5" s="58">
        <f t="shared" si="1"/>
        <v>139000</v>
      </c>
    </row>
    <row r="6" spans="1:31" x14ac:dyDescent="0.35">
      <c r="A6" s="17" t="s">
        <v>9</v>
      </c>
      <c r="B6" s="57">
        <v>564000</v>
      </c>
      <c r="C6" s="12">
        <v>626000</v>
      </c>
      <c r="D6" s="12">
        <v>699000</v>
      </c>
      <c r="E6" s="12">
        <v>784000</v>
      </c>
      <c r="F6" s="12">
        <v>881000</v>
      </c>
      <c r="G6" s="12">
        <v>991000</v>
      </c>
      <c r="H6" s="12">
        <v>1119000</v>
      </c>
      <c r="I6" s="12">
        <v>1208000</v>
      </c>
      <c r="J6" s="12">
        <v>1269000</v>
      </c>
      <c r="K6" s="58">
        <v>1350000</v>
      </c>
      <c r="L6" s="57">
        <v>0</v>
      </c>
      <c r="M6" s="12">
        <f t="shared" ref="M6:M13" si="2">C6-$B6</f>
        <v>62000</v>
      </c>
      <c r="N6" s="12">
        <f>D6-$B6</f>
        <v>135000</v>
      </c>
      <c r="O6" s="12">
        <f t="shared" si="0"/>
        <v>220000</v>
      </c>
      <c r="P6" s="12">
        <f t="shared" si="0"/>
        <v>317000</v>
      </c>
      <c r="Q6" s="12">
        <f t="shared" si="0"/>
        <v>427000</v>
      </c>
      <c r="R6" s="12">
        <f t="shared" si="0"/>
        <v>555000</v>
      </c>
      <c r="S6" s="12">
        <f t="shared" si="0"/>
        <v>644000</v>
      </c>
      <c r="T6" s="12">
        <f t="shared" si="0"/>
        <v>705000</v>
      </c>
      <c r="U6" s="12">
        <f t="shared" si="0"/>
        <v>786000</v>
      </c>
      <c r="V6" s="57">
        <v>0</v>
      </c>
      <c r="W6" s="12">
        <v>0</v>
      </c>
      <c r="X6" s="12">
        <v>0</v>
      </c>
      <c r="Y6" s="12">
        <v>0</v>
      </c>
      <c r="Z6" s="12">
        <v>0</v>
      </c>
      <c r="AA6" s="12">
        <f t="shared" ref="AA6:AA13" si="3">G6-$F6</f>
        <v>110000</v>
      </c>
      <c r="AB6" s="12">
        <f t="shared" si="1"/>
        <v>238000</v>
      </c>
      <c r="AC6" s="12">
        <f t="shared" si="1"/>
        <v>327000</v>
      </c>
      <c r="AD6" s="12">
        <f t="shared" si="1"/>
        <v>388000</v>
      </c>
      <c r="AE6" s="58">
        <f t="shared" si="1"/>
        <v>469000</v>
      </c>
    </row>
    <row r="7" spans="1:31" x14ac:dyDescent="0.35">
      <c r="A7" s="17" t="s">
        <v>10</v>
      </c>
      <c r="B7" s="57">
        <v>632000</v>
      </c>
      <c r="C7" s="12">
        <v>678000</v>
      </c>
      <c r="D7" s="12">
        <v>738000</v>
      </c>
      <c r="E7" s="12">
        <v>778000</v>
      </c>
      <c r="F7" s="12">
        <v>862000</v>
      </c>
      <c r="G7" s="12">
        <v>980000</v>
      </c>
      <c r="H7" s="12">
        <v>1117000</v>
      </c>
      <c r="I7" s="12">
        <v>1229000</v>
      </c>
      <c r="J7" s="12">
        <v>1334000</v>
      </c>
      <c r="K7" s="58">
        <v>1443000</v>
      </c>
      <c r="L7" s="57">
        <v>0</v>
      </c>
      <c r="M7" s="12">
        <f t="shared" si="2"/>
        <v>46000</v>
      </c>
      <c r="N7" s="12">
        <f t="shared" si="0"/>
        <v>106000</v>
      </c>
      <c r="O7" s="12">
        <f t="shared" si="0"/>
        <v>146000</v>
      </c>
      <c r="P7" s="12">
        <f t="shared" si="0"/>
        <v>230000</v>
      </c>
      <c r="Q7" s="12">
        <f t="shared" si="0"/>
        <v>348000</v>
      </c>
      <c r="R7" s="12">
        <f t="shared" si="0"/>
        <v>485000</v>
      </c>
      <c r="S7" s="12">
        <f t="shared" si="0"/>
        <v>597000</v>
      </c>
      <c r="T7" s="12">
        <f t="shared" si="0"/>
        <v>702000</v>
      </c>
      <c r="U7" s="12">
        <f t="shared" si="0"/>
        <v>811000</v>
      </c>
      <c r="V7" s="57">
        <v>0</v>
      </c>
      <c r="W7" s="12">
        <v>0</v>
      </c>
      <c r="X7" s="12">
        <v>0</v>
      </c>
      <c r="Y7" s="12">
        <v>0</v>
      </c>
      <c r="Z7" s="12">
        <v>0</v>
      </c>
      <c r="AA7" s="12">
        <f t="shared" si="3"/>
        <v>118000</v>
      </c>
      <c r="AB7" s="12">
        <f t="shared" si="1"/>
        <v>255000</v>
      </c>
      <c r="AC7" s="12">
        <f t="shared" si="1"/>
        <v>367000</v>
      </c>
      <c r="AD7" s="12">
        <f t="shared" si="1"/>
        <v>472000</v>
      </c>
      <c r="AE7" s="58">
        <f t="shared" si="1"/>
        <v>581000</v>
      </c>
    </row>
    <row r="8" spans="1:31" x14ac:dyDescent="0.35">
      <c r="A8" s="17" t="s">
        <v>11</v>
      </c>
      <c r="B8" s="57">
        <v>132000</v>
      </c>
      <c r="C8" s="12">
        <v>141000</v>
      </c>
      <c r="D8" s="12">
        <v>158000</v>
      </c>
      <c r="E8" s="12">
        <v>183000</v>
      </c>
      <c r="F8" s="12">
        <v>211000</v>
      </c>
      <c r="G8" s="12">
        <v>249000</v>
      </c>
      <c r="H8" s="12">
        <v>291000</v>
      </c>
      <c r="I8" s="12">
        <v>337000</v>
      </c>
      <c r="J8" s="12">
        <v>378000</v>
      </c>
      <c r="K8" s="58">
        <v>419000</v>
      </c>
      <c r="L8" s="57">
        <v>0</v>
      </c>
      <c r="M8" s="12">
        <f t="shared" si="2"/>
        <v>9000</v>
      </c>
      <c r="N8" s="12">
        <f t="shared" si="0"/>
        <v>26000</v>
      </c>
      <c r="O8" s="12">
        <f t="shared" si="0"/>
        <v>51000</v>
      </c>
      <c r="P8" s="12">
        <f t="shared" si="0"/>
        <v>79000</v>
      </c>
      <c r="Q8" s="12">
        <f t="shared" si="0"/>
        <v>117000</v>
      </c>
      <c r="R8" s="12">
        <f t="shared" si="0"/>
        <v>159000</v>
      </c>
      <c r="S8" s="12">
        <f t="shared" si="0"/>
        <v>205000</v>
      </c>
      <c r="T8" s="12">
        <f t="shared" si="0"/>
        <v>246000</v>
      </c>
      <c r="U8" s="12">
        <f t="shared" si="0"/>
        <v>287000</v>
      </c>
      <c r="V8" s="57">
        <v>0</v>
      </c>
      <c r="W8" s="12">
        <v>0</v>
      </c>
      <c r="X8" s="12">
        <v>0</v>
      </c>
      <c r="Y8" s="12">
        <v>0</v>
      </c>
      <c r="Z8" s="12">
        <v>0</v>
      </c>
      <c r="AA8" s="12">
        <f t="shared" si="3"/>
        <v>38000</v>
      </c>
      <c r="AB8" s="12">
        <f t="shared" si="1"/>
        <v>80000</v>
      </c>
      <c r="AC8" s="12">
        <f t="shared" si="1"/>
        <v>126000</v>
      </c>
      <c r="AD8" s="12">
        <f t="shared" si="1"/>
        <v>167000</v>
      </c>
      <c r="AE8" s="58">
        <f t="shared" si="1"/>
        <v>208000</v>
      </c>
    </row>
    <row r="9" spans="1:31" x14ac:dyDescent="0.35">
      <c r="A9" s="17" t="s">
        <v>13</v>
      </c>
      <c r="B9" s="57">
        <v>304000</v>
      </c>
      <c r="C9" s="12">
        <v>336000</v>
      </c>
      <c r="D9" s="12">
        <v>383000</v>
      </c>
      <c r="E9" s="12">
        <v>433000</v>
      </c>
      <c r="F9" s="12">
        <v>490000</v>
      </c>
      <c r="G9" s="12">
        <v>536000</v>
      </c>
      <c r="H9" s="12">
        <v>581000</v>
      </c>
      <c r="I9" s="12">
        <v>636000</v>
      </c>
      <c r="J9" s="12">
        <v>687000</v>
      </c>
      <c r="K9" s="58">
        <v>741000</v>
      </c>
      <c r="L9" s="57">
        <v>0</v>
      </c>
      <c r="M9" s="12">
        <f t="shared" si="2"/>
        <v>32000</v>
      </c>
      <c r="N9" s="12">
        <f t="shared" si="0"/>
        <v>79000</v>
      </c>
      <c r="O9" s="12">
        <f t="shared" si="0"/>
        <v>129000</v>
      </c>
      <c r="P9" s="12">
        <f t="shared" si="0"/>
        <v>186000</v>
      </c>
      <c r="Q9" s="12">
        <f t="shared" si="0"/>
        <v>232000</v>
      </c>
      <c r="R9" s="12">
        <f t="shared" si="0"/>
        <v>277000</v>
      </c>
      <c r="S9" s="12">
        <f t="shared" si="0"/>
        <v>332000</v>
      </c>
      <c r="T9" s="12">
        <f t="shared" si="0"/>
        <v>383000</v>
      </c>
      <c r="U9" s="12">
        <f t="shared" si="0"/>
        <v>437000</v>
      </c>
      <c r="V9" s="57">
        <v>0</v>
      </c>
      <c r="W9" s="12">
        <v>0</v>
      </c>
      <c r="X9" s="12">
        <v>0</v>
      </c>
      <c r="Y9" s="12">
        <v>0</v>
      </c>
      <c r="Z9" s="12">
        <v>0</v>
      </c>
      <c r="AA9" s="12">
        <f t="shared" si="3"/>
        <v>46000</v>
      </c>
      <c r="AB9" s="12">
        <f t="shared" si="1"/>
        <v>91000</v>
      </c>
      <c r="AC9" s="12">
        <f t="shared" si="1"/>
        <v>146000</v>
      </c>
      <c r="AD9" s="12">
        <f t="shared" si="1"/>
        <v>197000</v>
      </c>
      <c r="AE9" s="58">
        <f t="shared" si="1"/>
        <v>251000</v>
      </c>
    </row>
    <row r="10" spans="1:31" x14ac:dyDescent="0.35">
      <c r="A10" s="17" t="s">
        <v>14</v>
      </c>
      <c r="B10" s="57">
        <v>63000</v>
      </c>
      <c r="C10" s="12">
        <v>70000</v>
      </c>
      <c r="D10" s="12">
        <v>77000</v>
      </c>
      <c r="E10" s="12">
        <v>86000</v>
      </c>
      <c r="F10" s="12">
        <v>95000</v>
      </c>
      <c r="G10" s="12">
        <v>103000</v>
      </c>
      <c r="H10" s="12">
        <v>112000</v>
      </c>
      <c r="I10" s="12">
        <v>121000</v>
      </c>
      <c r="J10" s="12">
        <v>131000</v>
      </c>
      <c r="K10" s="58">
        <v>141000</v>
      </c>
      <c r="L10" s="57">
        <v>0</v>
      </c>
      <c r="M10" s="12">
        <f t="shared" si="2"/>
        <v>7000</v>
      </c>
      <c r="N10" s="12">
        <f t="shared" si="0"/>
        <v>14000</v>
      </c>
      <c r="O10" s="12">
        <f t="shared" si="0"/>
        <v>23000</v>
      </c>
      <c r="P10" s="12">
        <f t="shared" si="0"/>
        <v>32000</v>
      </c>
      <c r="Q10" s="12">
        <f t="shared" si="0"/>
        <v>40000</v>
      </c>
      <c r="R10" s="12">
        <f t="shared" si="0"/>
        <v>49000</v>
      </c>
      <c r="S10" s="12">
        <f t="shared" si="0"/>
        <v>58000</v>
      </c>
      <c r="T10" s="12">
        <f t="shared" si="0"/>
        <v>68000</v>
      </c>
      <c r="U10" s="12">
        <f t="shared" si="0"/>
        <v>78000</v>
      </c>
      <c r="V10" s="57">
        <v>0</v>
      </c>
      <c r="W10" s="12">
        <v>0</v>
      </c>
      <c r="X10" s="12">
        <v>0</v>
      </c>
      <c r="Y10" s="12">
        <v>0</v>
      </c>
      <c r="Z10" s="12">
        <v>0</v>
      </c>
      <c r="AA10" s="12">
        <f t="shared" si="3"/>
        <v>8000</v>
      </c>
      <c r="AB10" s="12">
        <f t="shared" si="1"/>
        <v>17000</v>
      </c>
      <c r="AC10" s="12">
        <f t="shared" si="1"/>
        <v>26000</v>
      </c>
      <c r="AD10" s="12">
        <f t="shared" si="1"/>
        <v>36000</v>
      </c>
      <c r="AE10" s="58">
        <f t="shared" si="1"/>
        <v>46000</v>
      </c>
    </row>
    <row r="11" spans="1:31" x14ac:dyDescent="0.35">
      <c r="A11" s="18" t="s">
        <v>15</v>
      </c>
      <c r="B11" s="57">
        <v>378000</v>
      </c>
      <c r="C11" s="12">
        <v>409000</v>
      </c>
      <c r="D11" s="12">
        <v>442000</v>
      </c>
      <c r="E11" s="12">
        <v>488000</v>
      </c>
      <c r="F11" s="12">
        <v>558000</v>
      </c>
      <c r="G11" s="12">
        <v>599000</v>
      </c>
      <c r="H11" s="12">
        <v>655000</v>
      </c>
      <c r="I11" s="12">
        <v>721000</v>
      </c>
      <c r="J11" s="12">
        <v>788000</v>
      </c>
      <c r="K11" s="58">
        <v>860000</v>
      </c>
      <c r="L11" s="57">
        <v>0</v>
      </c>
      <c r="M11" s="12">
        <f t="shared" si="2"/>
        <v>31000</v>
      </c>
      <c r="N11" s="12">
        <f t="shared" si="0"/>
        <v>64000</v>
      </c>
      <c r="O11" s="12">
        <f t="shared" si="0"/>
        <v>110000</v>
      </c>
      <c r="P11" s="12">
        <f t="shared" si="0"/>
        <v>180000</v>
      </c>
      <c r="Q11" s="12">
        <f t="shared" si="0"/>
        <v>221000</v>
      </c>
      <c r="R11" s="12">
        <f t="shared" si="0"/>
        <v>277000</v>
      </c>
      <c r="S11" s="12">
        <f t="shared" si="0"/>
        <v>343000</v>
      </c>
      <c r="T11" s="12">
        <f t="shared" si="0"/>
        <v>410000</v>
      </c>
      <c r="U11" s="12">
        <f t="shared" si="0"/>
        <v>482000</v>
      </c>
      <c r="V11" s="57">
        <v>0</v>
      </c>
      <c r="W11" s="12">
        <v>0</v>
      </c>
      <c r="X11" s="12">
        <v>0</v>
      </c>
      <c r="Y11" s="12">
        <v>0</v>
      </c>
      <c r="Z11" s="12">
        <v>0</v>
      </c>
      <c r="AA11" s="12">
        <f t="shared" si="3"/>
        <v>41000</v>
      </c>
      <c r="AB11" s="12">
        <f t="shared" si="1"/>
        <v>97000</v>
      </c>
      <c r="AC11" s="12">
        <f t="shared" si="1"/>
        <v>163000</v>
      </c>
      <c r="AD11" s="12">
        <f t="shared" si="1"/>
        <v>230000</v>
      </c>
      <c r="AE11" s="58">
        <f t="shared" si="1"/>
        <v>302000</v>
      </c>
    </row>
    <row r="12" spans="1:31" x14ac:dyDescent="0.35">
      <c r="A12" s="18" t="s">
        <v>17</v>
      </c>
      <c r="B12" s="57">
        <v>290000</v>
      </c>
      <c r="C12" s="12">
        <v>339000</v>
      </c>
      <c r="D12" s="12">
        <v>401000</v>
      </c>
      <c r="E12" s="12">
        <v>478000</v>
      </c>
      <c r="F12" s="12">
        <v>542000</v>
      </c>
      <c r="G12" s="12">
        <v>608000</v>
      </c>
      <c r="H12" s="12">
        <v>669000</v>
      </c>
      <c r="I12" s="12">
        <v>716000</v>
      </c>
      <c r="J12" s="12">
        <v>768000</v>
      </c>
      <c r="K12" s="58">
        <v>817000</v>
      </c>
      <c r="L12" s="57">
        <v>0</v>
      </c>
      <c r="M12" s="12">
        <f t="shared" si="2"/>
        <v>49000</v>
      </c>
      <c r="N12" s="12">
        <f t="shared" si="0"/>
        <v>111000</v>
      </c>
      <c r="O12" s="12">
        <f t="shared" si="0"/>
        <v>188000</v>
      </c>
      <c r="P12" s="12">
        <f t="shared" si="0"/>
        <v>252000</v>
      </c>
      <c r="Q12" s="12">
        <f t="shared" si="0"/>
        <v>318000</v>
      </c>
      <c r="R12" s="12">
        <f t="shared" si="0"/>
        <v>379000</v>
      </c>
      <c r="S12" s="12">
        <f t="shared" si="0"/>
        <v>426000</v>
      </c>
      <c r="T12" s="12">
        <f t="shared" si="0"/>
        <v>478000</v>
      </c>
      <c r="U12" s="12">
        <f t="shared" si="0"/>
        <v>527000</v>
      </c>
      <c r="V12" s="57">
        <v>0</v>
      </c>
      <c r="W12" s="12">
        <v>0</v>
      </c>
      <c r="X12" s="12">
        <v>0</v>
      </c>
      <c r="Y12" s="12">
        <v>0</v>
      </c>
      <c r="Z12" s="12">
        <v>0</v>
      </c>
      <c r="AA12" s="12">
        <f t="shared" si="3"/>
        <v>66000</v>
      </c>
      <c r="AB12" s="12">
        <f t="shared" si="1"/>
        <v>127000</v>
      </c>
      <c r="AC12" s="12">
        <f t="shared" si="1"/>
        <v>174000</v>
      </c>
      <c r="AD12" s="12">
        <f t="shared" si="1"/>
        <v>226000</v>
      </c>
      <c r="AE12" s="58">
        <f t="shared" si="1"/>
        <v>275000</v>
      </c>
    </row>
    <row r="13" spans="1:31" x14ac:dyDescent="0.35">
      <c r="A13" s="17" t="s">
        <v>19</v>
      </c>
      <c r="B13" s="57">
        <v>207000</v>
      </c>
      <c r="C13" s="12">
        <v>224000</v>
      </c>
      <c r="D13" s="12">
        <v>242000</v>
      </c>
      <c r="E13" s="12">
        <v>263000</v>
      </c>
      <c r="F13" s="12">
        <v>288000</v>
      </c>
      <c r="G13" s="12">
        <v>309000</v>
      </c>
      <c r="H13" s="12">
        <v>332000</v>
      </c>
      <c r="I13" s="12">
        <v>356000</v>
      </c>
      <c r="J13" s="12">
        <v>385000</v>
      </c>
      <c r="K13" s="58">
        <v>416000</v>
      </c>
      <c r="L13" s="57">
        <v>0</v>
      </c>
      <c r="M13" s="12">
        <f t="shared" si="2"/>
        <v>17000</v>
      </c>
      <c r="N13" s="12">
        <f t="shared" si="0"/>
        <v>35000</v>
      </c>
      <c r="O13" s="12">
        <f t="shared" si="0"/>
        <v>56000</v>
      </c>
      <c r="P13" s="12">
        <f t="shared" si="0"/>
        <v>81000</v>
      </c>
      <c r="Q13" s="12">
        <f t="shared" si="0"/>
        <v>102000</v>
      </c>
      <c r="R13" s="12">
        <f t="shared" si="0"/>
        <v>125000</v>
      </c>
      <c r="S13" s="12">
        <f t="shared" si="0"/>
        <v>149000</v>
      </c>
      <c r="T13" s="12">
        <f t="shared" si="0"/>
        <v>178000</v>
      </c>
      <c r="U13" s="12">
        <f t="shared" si="0"/>
        <v>209000</v>
      </c>
      <c r="V13" s="57">
        <v>0</v>
      </c>
      <c r="W13" s="12">
        <v>0</v>
      </c>
      <c r="X13" s="12">
        <v>0</v>
      </c>
      <c r="Y13" s="12">
        <v>0</v>
      </c>
      <c r="Z13" s="12">
        <v>0</v>
      </c>
      <c r="AA13" s="12">
        <f t="shared" si="3"/>
        <v>21000</v>
      </c>
      <c r="AB13" s="12">
        <f t="shared" si="1"/>
        <v>44000</v>
      </c>
      <c r="AC13" s="12">
        <f t="shared" si="1"/>
        <v>68000</v>
      </c>
      <c r="AD13" s="12">
        <f t="shared" si="1"/>
        <v>97000</v>
      </c>
      <c r="AE13" s="58">
        <f t="shared" si="1"/>
        <v>128000</v>
      </c>
    </row>
    <row r="14" spans="1:31" ht="16" thickBot="1" x14ac:dyDescent="0.4">
      <c r="A14" s="86" t="s">
        <v>20</v>
      </c>
      <c r="B14" s="59">
        <f>SUM(B5:B13)</f>
        <v>2726000</v>
      </c>
      <c r="C14" s="60">
        <f t="shared" ref="C14:AE14" si="4">SUM(C5:C13)</f>
        <v>2994000</v>
      </c>
      <c r="D14" s="60">
        <f t="shared" si="4"/>
        <v>3334000</v>
      </c>
      <c r="E14" s="60">
        <f t="shared" si="4"/>
        <v>3711000</v>
      </c>
      <c r="F14" s="60">
        <f t="shared" si="4"/>
        <v>4168000</v>
      </c>
      <c r="G14" s="60">
        <f t="shared" si="4"/>
        <v>4642000</v>
      </c>
      <c r="H14" s="60">
        <f t="shared" si="4"/>
        <v>5166000</v>
      </c>
      <c r="I14" s="60">
        <f t="shared" si="4"/>
        <v>5646000</v>
      </c>
      <c r="J14" s="60">
        <f t="shared" si="4"/>
        <v>6091000</v>
      </c>
      <c r="K14" s="61">
        <f t="shared" si="4"/>
        <v>6567000</v>
      </c>
      <c r="L14" s="64">
        <f t="shared" si="4"/>
        <v>0</v>
      </c>
      <c r="M14" s="65">
        <f t="shared" si="4"/>
        <v>268000</v>
      </c>
      <c r="N14" s="65">
        <f t="shared" si="4"/>
        <v>608000</v>
      </c>
      <c r="O14" s="65">
        <f t="shared" si="4"/>
        <v>985000</v>
      </c>
      <c r="P14" s="65">
        <f t="shared" si="4"/>
        <v>1442000</v>
      </c>
      <c r="Q14" s="65">
        <f t="shared" si="4"/>
        <v>1916000</v>
      </c>
      <c r="R14" s="65">
        <f t="shared" si="4"/>
        <v>2440000</v>
      </c>
      <c r="S14" s="65">
        <f t="shared" si="4"/>
        <v>2920000</v>
      </c>
      <c r="T14" s="65">
        <f t="shared" si="4"/>
        <v>3365000</v>
      </c>
      <c r="U14" s="66">
        <f t="shared" si="4"/>
        <v>3841000</v>
      </c>
      <c r="V14" s="72">
        <f t="shared" si="4"/>
        <v>0</v>
      </c>
      <c r="W14" s="73">
        <f t="shared" si="4"/>
        <v>0</v>
      </c>
      <c r="X14" s="73">
        <f t="shared" si="4"/>
        <v>0</v>
      </c>
      <c r="Y14" s="73">
        <f t="shared" si="4"/>
        <v>0</v>
      </c>
      <c r="Z14" s="73">
        <f t="shared" si="4"/>
        <v>0</v>
      </c>
      <c r="AA14" s="73">
        <f t="shared" si="4"/>
        <v>474000</v>
      </c>
      <c r="AB14" s="73">
        <f t="shared" si="4"/>
        <v>998000</v>
      </c>
      <c r="AC14" s="73">
        <f t="shared" si="4"/>
        <v>1478000</v>
      </c>
      <c r="AD14" s="73">
        <f t="shared" si="4"/>
        <v>1923000</v>
      </c>
      <c r="AE14" s="74">
        <f t="shared" si="4"/>
        <v>2399000</v>
      </c>
    </row>
    <row r="15" spans="1:31" x14ac:dyDescent="0.35">
      <c r="O15" s="14"/>
      <c r="P15" s="14"/>
      <c r="Q15" s="14"/>
      <c r="R15" s="14"/>
      <c r="S15" s="15"/>
      <c r="T15" s="15"/>
      <c r="U15" s="15"/>
      <c r="Y15" s="14"/>
      <c r="Z15" s="14"/>
      <c r="AA15" s="14"/>
      <c r="AB15" s="14"/>
      <c r="AC15" s="15"/>
      <c r="AD15" s="15"/>
      <c r="AE15" s="15"/>
    </row>
    <row r="16" spans="1:31" x14ac:dyDescent="0.35">
      <c r="A16" s="13" t="s">
        <v>71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x14ac:dyDescent="0.35">
      <c r="A17" s="147" t="s">
        <v>72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x14ac:dyDescent="0.35">
      <c r="A18" s="147" t="s">
        <v>73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x14ac:dyDescent="0.35">
      <c r="A19" s="148" t="s">
        <v>260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x14ac:dyDescent="0.3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x14ac:dyDescent="0.3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x14ac:dyDescent="0.3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x14ac:dyDescent="0.3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x14ac:dyDescent="0.3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x14ac:dyDescent="0.3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x14ac:dyDescent="0.3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x14ac:dyDescent="0.3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x14ac:dyDescent="0.3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x14ac:dyDescent="0.3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x14ac:dyDescent="0.3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x14ac:dyDescent="0.3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x14ac:dyDescent="0.3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2:31" x14ac:dyDescent="0.3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2:31" x14ac:dyDescent="0.3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2:31" x14ac:dyDescent="0.3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2:31" x14ac:dyDescent="0.3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2:31" x14ac:dyDescent="0.3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</sheetData>
  <mergeCells count="3">
    <mergeCell ref="B2:K3"/>
    <mergeCell ref="L2:U3"/>
    <mergeCell ref="V2:AE3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CCC8D354-4B1D-4112-94D9-2D7A348D3FE8}">
            <xm:f>ABS(B5-'\Users\jwilliamson\Dropbox\FPET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B5:AE13</xm:sqref>
        </x14:conditionalFormatting>
        <x14:conditionalFormatting xmlns:xm="http://schemas.microsoft.com/office/excel/2006/main">
          <x14:cfRule type="expression" priority="34" id="{15B138DE-AB2A-4B10-AA29-FDAE9A199948}">
            <xm:f>ABS(B14-'\Users\jwilliamson\Dropbox\FPET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B14:AE14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4D14C-2454-4B22-9FCD-8CC3913709A4}">
  <sheetPr>
    <tabColor theme="6"/>
  </sheetPr>
  <dimension ref="A1:L59"/>
  <sheetViews>
    <sheetView showGridLines="0" tabSelected="1" zoomScale="80" zoomScaleNormal="80" workbookViewId="0">
      <pane xSplit="1" ySplit="1" topLeftCell="B16" activePane="bottomRight" state="frozen"/>
      <selection activeCell="C32" sqref="C32"/>
      <selection pane="topRight" activeCell="C32" sqref="C32"/>
      <selection pane="bottomLeft" activeCell="C32" sqref="C32"/>
      <selection pane="bottomRight" activeCell="P43" sqref="P42:Q43"/>
    </sheetView>
  </sheetViews>
  <sheetFormatPr defaultColWidth="9.08984375" defaultRowHeight="14.5" x14ac:dyDescent="0.35"/>
  <cols>
    <col min="1" max="1" width="28.453125" style="350" customWidth="1"/>
    <col min="2" max="2" width="14.54296875" customWidth="1"/>
    <col min="3" max="11" width="9.6328125" customWidth="1"/>
    <col min="12" max="12" width="9.36328125" customWidth="1"/>
    <col min="13" max="13" width="20.90625" customWidth="1"/>
    <col min="14" max="14" width="9.36328125" customWidth="1"/>
    <col min="15" max="15" width="9.54296875" bestFit="1" customWidth="1"/>
    <col min="16" max="20" width="10.54296875" bestFit="1" customWidth="1"/>
    <col min="21" max="21" width="10.54296875" customWidth="1"/>
  </cols>
  <sheetData>
    <row r="1" spans="1:12" x14ac:dyDescent="0.35">
      <c r="A1" s="370"/>
      <c r="B1" s="49"/>
      <c r="C1" s="289"/>
      <c r="D1" s="289"/>
      <c r="E1" s="289"/>
      <c r="F1" s="289"/>
      <c r="G1" s="289"/>
      <c r="H1" s="289"/>
      <c r="I1" s="289"/>
      <c r="J1" s="289"/>
      <c r="K1" s="289"/>
      <c r="L1" s="355"/>
    </row>
    <row r="2" spans="1:12" ht="15" customHeight="1" thickBot="1" x14ac:dyDescent="0.4">
      <c r="B2" s="556" t="s">
        <v>74</v>
      </c>
      <c r="C2" s="557"/>
      <c r="D2" s="557"/>
      <c r="E2" s="557"/>
      <c r="F2" s="557"/>
      <c r="G2" s="557"/>
      <c r="H2" s="557"/>
      <c r="I2" s="557"/>
      <c r="J2" s="557"/>
      <c r="K2" s="557"/>
      <c r="L2" s="558"/>
    </row>
    <row r="3" spans="1:12" ht="29" x14ac:dyDescent="0.35">
      <c r="A3" s="371" t="s">
        <v>27</v>
      </c>
      <c r="B3" s="290" t="s">
        <v>240</v>
      </c>
      <c r="C3" s="356">
        <v>2011.5</v>
      </c>
      <c r="D3" s="356">
        <v>2012.5</v>
      </c>
      <c r="E3" s="356">
        <v>2013.5</v>
      </c>
      <c r="F3" s="356">
        <v>2014.5</v>
      </c>
      <c r="G3" s="356">
        <v>2015.5</v>
      </c>
      <c r="H3" s="356">
        <v>2016.5</v>
      </c>
      <c r="I3" s="356">
        <v>2017.5</v>
      </c>
      <c r="J3" s="356">
        <v>2018.5</v>
      </c>
      <c r="K3" s="356">
        <v>2019.5</v>
      </c>
      <c r="L3" s="357">
        <v>2020.5</v>
      </c>
    </row>
    <row r="4" spans="1:12" s="48" customFormat="1" ht="15" customHeight="1" x14ac:dyDescent="0.35">
      <c r="A4" s="38" t="s">
        <v>7</v>
      </c>
      <c r="B4" s="164">
        <f>SUM(C4:L4)</f>
        <v>960000</v>
      </c>
      <c r="C4" s="163">
        <v>58000</v>
      </c>
      <c r="D4" s="163">
        <v>63000</v>
      </c>
      <c r="E4" s="163">
        <v>72000</v>
      </c>
      <c r="F4" s="163">
        <v>81000</v>
      </c>
      <c r="G4" s="163">
        <v>89000</v>
      </c>
      <c r="H4" s="163">
        <v>99000</v>
      </c>
      <c r="I4" s="163">
        <v>108000</v>
      </c>
      <c r="J4" s="163">
        <v>119000</v>
      </c>
      <c r="K4" s="163">
        <v>130000</v>
      </c>
      <c r="L4" s="165">
        <v>141000</v>
      </c>
    </row>
    <row r="5" spans="1:12" s="48" customFormat="1" ht="15" customHeight="1" x14ac:dyDescent="0.35">
      <c r="A5" s="38" t="s">
        <v>9</v>
      </c>
      <c r="B5" s="164">
        <f t="shared" ref="B5:B12" si="0">SUM(C5:L5)</f>
        <v>3647000</v>
      </c>
      <c r="C5" s="163">
        <v>217000</v>
      </c>
      <c r="D5" s="163">
        <v>240000</v>
      </c>
      <c r="E5" s="163">
        <v>269000</v>
      </c>
      <c r="F5" s="163">
        <v>301000</v>
      </c>
      <c r="G5" s="163">
        <v>338000</v>
      </c>
      <c r="H5" s="163">
        <v>381000</v>
      </c>
      <c r="I5" s="163">
        <v>430000</v>
      </c>
      <c r="J5" s="163">
        <v>464000</v>
      </c>
      <c r="K5" s="163">
        <v>488000</v>
      </c>
      <c r="L5" s="165">
        <v>519000</v>
      </c>
    </row>
    <row r="6" spans="1:12" s="48" customFormat="1" x14ac:dyDescent="0.35">
      <c r="A6" s="38" t="s">
        <v>10</v>
      </c>
      <c r="B6" s="164">
        <f t="shared" si="0"/>
        <v>3473000</v>
      </c>
      <c r="C6" s="163">
        <v>224000</v>
      </c>
      <c r="D6" s="163">
        <v>240000</v>
      </c>
      <c r="E6" s="163">
        <v>262000</v>
      </c>
      <c r="F6" s="163">
        <v>276000</v>
      </c>
      <c r="G6" s="163">
        <v>306000</v>
      </c>
      <c r="H6" s="163">
        <v>348000</v>
      </c>
      <c r="I6" s="163">
        <v>396000</v>
      </c>
      <c r="J6" s="163">
        <v>436000</v>
      </c>
      <c r="K6" s="163">
        <v>473000</v>
      </c>
      <c r="L6" s="165">
        <v>512000</v>
      </c>
    </row>
    <row r="7" spans="1:12" s="48" customFormat="1" x14ac:dyDescent="0.35">
      <c r="A7" s="38" t="s">
        <v>11</v>
      </c>
      <c r="B7" s="164">
        <f t="shared" si="0"/>
        <v>794000</v>
      </c>
      <c r="C7" s="163">
        <v>42000</v>
      </c>
      <c r="D7" s="163">
        <v>45000</v>
      </c>
      <c r="E7" s="163">
        <v>50000</v>
      </c>
      <c r="F7" s="163">
        <v>58000</v>
      </c>
      <c r="G7" s="163">
        <v>67000</v>
      </c>
      <c r="H7" s="163">
        <v>79000</v>
      </c>
      <c r="I7" s="163">
        <v>93000</v>
      </c>
      <c r="J7" s="163">
        <v>107000</v>
      </c>
      <c r="K7" s="163">
        <v>120000</v>
      </c>
      <c r="L7" s="165">
        <v>133000</v>
      </c>
    </row>
    <row r="8" spans="1:12" s="48" customFormat="1" x14ac:dyDescent="0.35">
      <c r="A8" s="38" t="s">
        <v>13</v>
      </c>
      <c r="B8" s="164">
        <f t="shared" si="0"/>
        <v>2003000</v>
      </c>
      <c r="C8" s="163">
        <v>119000</v>
      </c>
      <c r="D8" s="163">
        <v>131000</v>
      </c>
      <c r="E8" s="163">
        <v>150000</v>
      </c>
      <c r="F8" s="163">
        <v>169000</v>
      </c>
      <c r="G8" s="163">
        <v>191000</v>
      </c>
      <c r="H8" s="163">
        <v>209000</v>
      </c>
      <c r="I8" s="163">
        <v>227000</v>
      </c>
      <c r="J8" s="163">
        <v>249000</v>
      </c>
      <c r="K8" s="163">
        <v>268000</v>
      </c>
      <c r="L8" s="165">
        <v>290000</v>
      </c>
    </row>
    <row r="9" spans="1:12" s="48" customFormat="1" x14ac:dyDescent="0.35">
      <c r="A9" s="38" t="s">
        <v>14</v>
      </c>
      <c r="B9" s="164">
        <f t="shared" si="0"/>
        <v>359000</v>
      </c>
      <c r="C9" s="163">
        <v>22000</v>
      </c>
      <c r="D9" s="163">
        <v>25000</v>
      </c>
      <c r="E9" s="163">
        <v>28000</v>
      </c>
      <c r="F9" s="163">
        <v>31000</v>
      </c>
      <c r="G9" s="163">
        <v>34000</v>
      </c>
      <c r="H9" s="163">
        <v>37000</v>
      </c>
      <c r="I9" s="163">
        <v>40000</v>
      </c>
      <c r="J9" s="163">
        <v>44000</v>
      </c>
      <c r="K9" s="163">
        <v>47000</v>
      </c>
      <c r="L9" s="165">
        <v>51000</v>
      </c>
    </row>
    <row r="10" spans="1:12" s="48" customFormat="1" x14ac:dyDescent="0.35">
      <c r="A10" s="150" t="s">
        <v>15</v>
      </c>
      <c r="B10" s="164">
        <f t="shared" si="0"/>
        <v>2036000</v>
      </c>
      <c r="C10" s="163">
        <v>113000</v>
      </c>
      <c r="D10" s="163">
        <v>122000</v>
      </c>
      <c r="E10" s="163">
        <v>132000</v>
      </c>
      <c r="F10" s="163">
        <v>146000</v>
      </c>
      <c r="G10" s="163">
        <v>167000</v>
      </c>
      <c r="H10" s="163">
        <v>224000</v>
      </c>
      <c r="I10" s="163">
        <v>245000</v>
      </c>
      <c r="J10" s="163">
        <v>270000</v>
      </c>
      <c r="K10" s="163">
        <v>295000</v>
      </c>
      <c r="L10" s="165">
        <v>322000</v>
      </c>
    </row>
    <row r="11" spans="1:12" s="48" customFormat="1" x14ac:dyDescent="0.35">
      <c r="A11" s="150" t="s">
        <v>17</v>
      </c>
      <c r="B11" s="164">
        <f t="shared" si="0"/>
        <v>2156000</v>
      </c>
      <c r="C11" s="163">
        <v>111000</v>
      </c>
      <c r="D11" s="163">
        <v>130000</v>
      </c>
      <c r="E11" s="163">
        <v>154000</v>
      </c>
      <c r="F11" s="163">
        <v>183000</v>
      </c>
      <c r="G11" s="163">
        <v>208000</v>
      </c>
      <c r="H11" s="163">
        <v>233000</v>
      </c>
      <c r="I11" s="163">
        <v>256000</v>
      </c>
      <c r="J11" s="163">
        <v>274000</v>
      </c>
      <c r="K11" s="163">
        <v>294000</v>
      </c>
      <c r="L11" s="165">
        <v>313000</v>
      </c>
    </row>
    <row r="12" spans="1:12" s="48" customFormat="1" x14ac:dyDescent="0.35">
      <c r="A12" s="38" t="s">
        <v>19</v>
      </c>
      <c r="B12" s="164">
        <f t="shared" si="0"/>
        <v>1102000</v>
      </c>
      <c r="C12" s="163">
        <v>75000</v>
      </c>
      <c r="D12" s="163">
        <v>82000</v>
      </c>
      <c r="E12" s="163">
        <v>88000</v>
      </c>
      <c r="F12" s="163">
        <v>96000</v>
      </c>
      <c r="G12" s="163">
        <v>105000</v>
      </c>
      <c r="H12" s="163">
        <v>113000</v>
      </c>
      <c r="I12" s="163">
        <v>121000</v>
      </c>
      <c r="J12" s="163">
        <v>130000</v>
      </c>
      <c r="K12" s="163">
        <v>140000</v>
      </c>
      <c r="L12" s="165">
        <v>152000</v>
      </c>
    </row>
    <row r="13" spans="1:12" s="51" customFormat="1" ht="16" thickBot="1" x14ac:dyDescent="0.4">
      <c r="A13" s="87" t="s">
        <v>26</v>
      </c>
      <c r="B13" s="358">
        <f t="shared" ref="B13" si="1">SUM(B4:B12)</f>
        <v>16530000</v>
      </c>
      <c r="C13" s="359">
        <f t="shared" ref="C13:L13" si="2">SUM(C4:C12)</f>
        <v>981000</v>
      </c>
      <c r="D13" s="359">
        <f t="shared" si="2"/>
        <v>1078000</v>
      </c>
      <c r="E13" s="359">
        <f t="shared" si="2"/>
        <v>1205000</v>
      </c>
      <c r="F13" s="359">
        <f t="shared" si="2"/>
        <v>1341000</v>
      </c>
      <c r="G13" s="359">
        <f t="shared" si="2"/>
        <v>1505000</v>
      </c>
      <c r="H13" s="359">
        <f t="shared" si="2"/>
        <v>1723000</v>
      </c>
      <c r="I13" s="359">
        <f t="shared" si="2"/>
        <v>1916000</v>
      </c>
      <c r="J13" s="359">
        <f t="shared" si="2"/>
        <v>2093000</v>
      </c>
      <c r="K13" s="359">
        <f t="shared" si="2"/>
        <v>2255000</v>
      </c>
      <c r="L13" s="360">
        <f t="shared" si="2"/>
        <v>2433000</v>
      </c>
    </row>
    <row r="14" spans="1:12" ht="9" customHeight="1" thickBot="1" x14ac:dyDescent="0.4"/>
    <row r="15" spans="1:12" x14ac:dyDescent="0.35">
      <c r="A15" s="349"/>
      <c r="B15" s="292"/>
      <c r="C15" s="293"/>
      <c r="D15" s="293"/>
      <c r="E15" s="293"/>
      <c r="F15" s="293"/>
      <c r="G15" s="293"/>
      <c r="H15" s="293"/>
      <c r="I15" s="293"/>
      <c r="J15" s="293"/>
      <c r="K15" s="293"/>
      <c r="L15" s="353"/>
    </row>
    <row r="16" spans="1:12" ht="15" customHeight="1" thickBot="1" x14ac:dyDescent="0.4">
      <c r="B16" s="553" t="s">
        <v>75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5"/>
    </row>
    <row r="17" spans="1:12" ht="29" x14ac:dyDescent="0.35">
      <c r="A17" s="372" t="s">
        <v>27</v>
      </c>
      <c r="B17" s="294" t="s">
        <v>240</v>
      </c>
      <c r="C17" s="295">
        <v>2011.5</v>
      </c>
      <c r="D17" s="295">
        <v>2012.5</v>
      </c>
      <c r="E17" s="295">
        <v>2013.5</v>
      </c>
      <c r="F17" s="295">
        <v>2014.5</v>
      </c>
      <c r="G17" s="295">
        <v>2015.5</v>
      </c>
      <c r="H17" s="295">
        <v>2016.5</v>
      </c>
      <c r="I17" s="295">
        <v>2017.5</v>
      </c>
      <c r="J17" s="295">
        <v>2018.5</v>
      </c>
      <c r="K17" s="295">
        <v>2019.5</v>
      </c>
      <c r="L17" s="354">
        <v>2020.5</v>
      </c>
    </row>
    <row r="18" spans="1:12" x14ac:dyDescent="0.35">
      <c r="A18" s="38" t="s">
        <v>7</v>
      </c>
      <c r="B18" s="164">
        <f>SUM(C18:L18)</f>
        <v>338000</v>
      </c>
      <c r="C18" s="163">
        <v>20000</v>
      </c>
      <c r="D18" s="163">
        <v>22000</v>
      </c>
      <c r="E18" s="163">
        <v>25000</v>
      </c>
      <c r="F18" s="163">
        <v>28000</v>
      </c>
      <c r="G18" s="163">
        <v>32000</v>
      </c>
      <c r="H18" s="163">
        <v>35000</v>
      </c>
      <c r="I18" s="163">
        <v>38000</v>
      </c>
      <c r="J18" s="163">
        <v>42000</v>
      </c>
      <c r="K18" s="163">
        <v>46000</v>
      </c>
      <c r="L18" s="361">
        <v>50000</v>
      </c>
    </row>
    <row r="19" spans="1:12" x14ac:dyDescent="0.35">
      <c r="A19" s="38" t="s">
        <v>9</v>
      </c>
      <c r="B19" s="164">
        <f t="shared" ref="B19:B26" si="3">SUM(C19:L19)</f>
        <v>1298000</v>
      </c>
      <c r="C19" s="163">
        <v>77000</v>
      </c>
      <c r="D19" s="163">
        <v>85000</v>
      </c>
      <c r="E19" s="163">
        <v>96000</v>
      </c>
      <c r="F19" s="163">
        <v>107000</v>
      </c>
      <c r="G19" s="163">
        <v>120000</v>
      </c>
      <c r="H19" s="163">
        <v>136000</v>
      </c>
      <c r="I19" s="163">
        <v>153000</v>
      </c>
      <c r="J19" s="163">
        <v>165000</v>
      </c>
      <c r="K19" s="163">
        <v>174000</v>
      </c>
      <c r="L19" s="165">
        <v>185000</v>
      </c>
    </row>
    <row r="20" spans="1:12" x14ac:dyDescent="0.35">
      <c r="A20" s="38" t="s">
        <v>10</v>
      </c>
      <c r="B20" s="164">
        <f t="shared" si="3"/>
        <v>1237000</v>
      </c>
      <c r="C20" s="163">
        <v>80000</v>
      </c>
      <c r="D20" s="163">
        <v>85000</v>
      </c>
      <c r="E20" s="163">
        <v>93000</v>
      </c>
      <c r="F20" s="163">
        <v>98000</v>
      </c>
      <c r="G20" s="163">
        <v>109000</v>
      </c>
      <c r="H20" s="163">
        <v>124000</v>
      </c>
      <c r="I20" s="163">
        <v>141000</v>
      </c>
      <c r="J20" s="163">
        <v>155000</v>
      </c>
      <c r="K20" s="163">
        <v>169000</v>
      </c>
      <c r="L20" s="165">
        <v>183000</v>
      </c>
    </row>
    <row r="21" spans="1:12" x14ac:dyDescent="0.35">
      <c r="A21" s="38" t="s">
        <v>11</v>
      </c>
      <c r="B21" s="164">
        <f t="shared" si="3"/>
        <v>282000</v>
      </c>
      <c r="C21" s="163">
        <v>15000</v>
      </c>
      <c r="D21" s="163">
        <v>16000</v>
      </c>
      <c r="E21" s="163">
        <v>18000</v>
      </c>
      <c r="F21" s="163">
        <v>20000</v>
      </c>
      <c r="G21" s="163">
        <v>24000</v>
      </c>
      <c r="H21" s="163">
        <v>28000</v>
      </c>
      <c r="I21" s="163">
        <v>33000</v>
      </c>
      <c r="J21" s="163">
        <v>38000</v>
      </c>
      <c r="K21" s="163">
        <v>43000</v>
      </c>
      <c r="L21" s="165">
        <v>47000</v>
      </c>
    </row>
    <row r="22" spans="1:12" x14ac:dyDescent="0.35">
      <c r="A22" s="38" t="s">
        <v>13</v>
      </c>
      <c r="B22" s="164">
        <f t="shared" si="3"/>
        <v>711000</v>
      </c>
      <c r="C22" s="163">
        <v>42000</v>
      </c>
      <c r="D22" s="163">
        <v>46000</v>
      </c>
      <c r="E22" s="163">
        <v>53000</v>
      </c>
      <c r="F22" s="163">
        <v>60000</v>
      </c>
      <c r="G22" s="163">
        <v>68000</v>
      </c>
      <c r="H22" s="163">
        <v>74000</v>
      </c>
      <c r="I22" s="163">
        <v>81000</v>
      </c>
      <c r="J22" s="163">
        <v>88000</v>
      </c>
      <c r="K22" s="163">
        <v>96000</v>
      </c>
      <c r="L22" s="361">
        <v>103000</v>
      </c>
    </row>
    <row r="23" spans="1:12" x14ac:dyDescent="0.35">
      <c r="A23" s="38" t="s">
        <v>14</v>
      </c>
      <c r="B23" s="164">
        <f t="shared" si="3"/>
        <v>126100</v>
      </c>
      <c r="C23" s="163">
        <v>8100</v>
      </c>
      <c r="D23" s="163">
        <v>9000</v>
      </c>
      <c r="E23" s="163">
        <v>10000</v>
      </c>
      <c r="F23" s="163">
        <v>11000</v>
      </c>
      <c r="G23" s="163">
        <v>12000</v>
      </c>
      <c r="H23" s="163">
        <v>13000</v>
      </c>
      <c r="I23" s="163">
        <v>14000</v>
      </c>
      <c r="J23" s="163">
        <v>15000</v>
      </c>
      <c r="K23" s="163">
        <v>16000</v>
      </c>
      <c r="L23" s="165">
        <v>18000</v>
      </c>
    </row>
    <row r="24" spans="1:12" x14ac:dyDescent="0.35">
      <c r="A24" s="150" t="s">
        <v>15</v>
      </c>
      <c r="B24" s="164">
        <f t="shared" si="3"/>
        <v>724000</v>
      </c>
      <c r="C24" s="163">
        <v>40000</v>
      </c>
      <c r="D24" s="163">
        <v>43000</v>
      </c>
      <c r="E24" s="163">
        <v>47000</v>
      </c>
      <c r="F24" s="163">
        <v>52000</v>
      </c>
      <c r="G24" s="163">
        <v>59000</v>
      </c>
      <c r="H24" s="163">
        <v>80000</v>
      </c>
      <c r="I24" s="163">
        <v>87000</v>
      </c>
      <c r="J24" s="163">
        <v>96000</v>
      </c>
      <c r="K24" s="163">
        <v>105000</v>
      </c>
      <c r="L24" s="165">
        <v>115000</v>
      </c>
    </row>
    <row r="25" spans="1:12" x14ac:dyDescent="0.35">
      <c r="A25" s="150" t="s">
        <v>17</v>
      </c>
      <c r="B25" s="164">
        <f t="shared" si="3"/>
        <v>767000</v>
      </c>
      <c r="C25" s="163">
        <v>39000</v>
      </c>
      <c r="D25" s="163">
        <v>46000</v>
      </c>
      <c r="E25" s="163">
        <v>55000</v>
      </c>
      <c r="F25" s="163">
        <v>65000</v>
      </c>
      <c r="G25" s="163">
        <v>74000</v>
      </c>
      <c r="H25" s="163">
        <v>83000</v>
      </c>
      <c r="I25" s="163">
        <v>91000</v>
      </c>
      <c r="J25" s="163">
        <v>98000</v>
      </c>
      <c r="K25" s="163">
        <v>105000</v>
      </c>
      <c r="L25" s="165">
        <v>111000</v>
      </c>
    </row>
    <row r="26" spans="1:12" x14ac:dyDescent="0.35">
      <c r="A26" s="38" t="s">
        <v>19</v>
      </c>
      <c r="B26" s="164">
        <f t="shared" si="3"/>
        <v>391000</v>
      </c>
      <c r="C26" s="163">
        <v>27000</v>
      </c>
      <c r="D26" s="163">
        <v>29000</v>
      </c>
      <c r="E26" s="163">
        <v>31000</v>
      </c>
      <c r="F26" s="163">
        <v>34000</v>
      </c>
      <c r="G26" s="163">
        <v>37000</v>
      </c>
      <c r="H26" s="163">
        <v>40000</v>
      </c>
      <c r="I26" s="163">
        <v>43000</v>
      </c>
      <c r="J26" s="163">
        <v>46000</v>
      </c>
      <c r="K26" s="163">
        <v>50000</v>
      </c>
      <c r="L26" s="165">
        <v>54000</v>
      </c>
    </row>
    <row r="27" spans="1:12" ht="16" thickBot="1" x14ac:dyDescent="0.4">
      <c r="A27" s="296" t="s">
        <v>26</v>
      </c>
      <c r="B27" s="362">
        <f>SUM(B18:B26)</f>
        <v>5874100</v>
      </c>
      <c r="C27" s="363">
        <f t="shared" ref="C27:L27" si="4">SUM(C18:C26)</f>
        <v>348100</v>
      </c>
      <c r="D27" s="363">
        <f t="shared" si="4"/>
        <v>381000</v>
      </c>
      <c r="E27" s="363">
        <f t="shared" si="4"/>
        <v>428000</v>
      </c>
      <c r="F27" s="363">
        <f t="shared" si="4"/>
        <v>475000</v>
      </c>
      <c r="G27" s="363">
        <f t="shared" si="4"/>
        <v>535000</v>
      </c>
      <c r="H27" s="363">
        <f t="shared" si="4"/>
        <v>613000</v>
      </c>
      <c r="I27" s="363">
        <f t="shared" si="4"/>
        <v>681000</v>
      </c>
      <c r="J27" s="363">
        <f t="shared" si="4"/>
        <v>743000</v>
      </c>
      <c r="K27" s="363">
        <f t="shared" si="4"/>
        <v>804000</v>
      </c>
      <c r="L27" s="364">
        <f t="shared" si="4"/>
        <v>866000</v>
      </c>
    </row>
    <row r="28" spans="1:12" ht="9" customHeight="1" thickBot="1" x14ac:dyDescent="0.4"/>
    <row r="29" spans="1:12" x14ac:dyDescent="0.35">
      <c r="A29" s="373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7"/>
    </row>
    <row r="30" spans="1:12" ht="15.75" customHeight="1" thickBot="1" x14ac:dyDescent="0.4">
      <c r="B30" s="559" t="s">
        <v>76</v>
      </c>
      <c r="C30" s="560"/>
      <c r="D30" s="560"/>
      <c r="E30" s="560"/>
      <c r="F30" s="560"/>
      <c r="G30" s="560"/>
      <c r="H30" s="560"/>
      <c r="I30" s="560"/>
      <c r="J30" s="560"/>
      <c r="K30" s="560"/>
      <c r="L30" s="561"/>
    </row>
    <row r="31" spans="1:12" ht="29" x14ac:dyDescent="0.35">
      <c r="A31" s="374" t="s">
        <v>27</v>
      </c>
      <c r="B31" s="297" t="s">
        <v>240</v>
      </c>
      <c r="C31" s="298"/>
      <c r="D31" s="365">
        <v>2012.5</v>
      </c>
      <c r="E31" s="365">
        <v>2013.5</v>
      </c>
      <c r="F31" s="365">
        <v>2014.5</v>
      </c>
      <c r="G31" s="365">
        <v>2015.5</v>
      </c>
      <c r="H31" s="365">
        <v>2016.5</v>
      </c>
      <c r="I31" s="365">
        <v>2017.5</v>
      </c>
      <c r="J31" s="365">
        <v>2018.5</v>
      </c>
      <c r="K31" s="365">
        <v>2019.5</v>
      </c>
      <c r="L31" s="366">
        <v>2020.5</v>
      </c>
    </row>
    <row r="32" spans="1:12" ht="18" customHeight="1" x14ac:dyDescent="0.35">
      <c r="A32" s="38" t="s">
        <v>7</v>
      </c>
      <c r="B32" s="164">
        <f>SUM(C32:L32)</f>
        <v>2580</v>
      </c>
      <c r="C32" s="163">
        <v>150</v>
      </c>
      <c r="D32" s="163">
        <v>170</v>
      </c>
      <c r="E32" s="163">
        <v>190</v>
      </c>
      <c r="F32" s="163">
        <v>220</v>
      </c>
      <c r="G32" s="163">
        <v>240</v>
      </c>
      <c r="H32" s="163">
        <v>270</v>
      </c>
      <c r="I32" s="163">
        <v>290</v>
      </c>
      <c r="J32" s="163">
        <v>320</v>
      </c>
      <c r="K32" s="163">
        <v>350</v>
      </c>
      <c r="L32" s="165">
        <v>380</v>
      </c>
    </row>
    <row r="33" spans="1:12" ht="18" customHeight="1" x14ac:dyDescent="0.35">
      <c r="A33" s="38" t="s">
        <v>9</v>
      </c>
      <c r="B33" s="164">
        <f t="shared" ref="B33:B40" si="5">SUM(C33:L33)</f>
        <v>8410</v>
      </c>
      <c r="C33" s="163">
        <v>510</v>
      </c>
      <c r="D33" s="163">
        <v>560</v>
      </c>
      <c r="E33" s="163">
        <v>630</v>
      </c>
      <c r="F33" s="163">
        <v>710</v>
      </c>
      <c r="G33" s="163">
        <v>800</v>
      </c>
      <c r="H33" s="163">
        <v>900</v>
      </c>
      <c r="I33" s="163">
        <v>1000</v>
      </c>
      <c r="J33" s="163">
        <v>1000</v>
      </c>
      <c r="K33" s="163">
        <v>1100</v>
      </c>
      <c r="L33" s="165">
        <v>1200</v>
      </c>
    </row>
    <row r="34" spans="1:12" ht="18" customHeight="1" x14ac:dyDescent="0.35">
      <c r="A34" s="38" t="s">
        <v>10</v>
      </c>
      <c r="B34" s="164">
        <f t="shared" si="5"/>
        <v>14350</v>
      </c>
      <c r="C34" s="163">
        <v>950</v>
      </c>
      <c r="D34" s="163">
        <v>1000</v>
      </c>
      <c r="E34" s="163">
        <v>1100</v>
      </c>
      <c r="F34" s="163">
        <v>1100</v>
      </c>
      <c r="G34" s="163">
        <v>1300</v>
      </c>
      <c r="H34" s="163">
        <v>1400</v>
      </c>
      <c r="I34" s="163">
        <v>1600</v>
      </c>
      <c r="J34" s="163">
        <v>1800</v>
      </c>
      <c r="K34" s="163">
        <v>2000</v>
      </c>
      <c r="L34" s="165">
        <v>2100</v>
      </c>
    </row>
    <row r="35" spans="1:12" ht="18" customHeight="1" x14ac:dyDescent="0.35">
      <c r="A35" s="38" t="s">
        <v>11</v>
      </c>
      <c r="B35" s="164">
        <f t="shared" si="5"/>
        <v>3260</v>
      </c>
      <c r="C35" s="163">
        <v>170</v>
      </c>
      <c r="D35" s="163">
        <v>180</v>
      </c>
      <c r="E35" s="163">
        <v>200</v>
      </c>
      <c r="F35" s="163">
        <v>240</v>
      </c>
      <c r="G35" s="163">
        <v>280</v>
      </c>
      <c r="H35" s="163">
        <v>320</v>
      </c>
      <c r="I35" s="163">
        <v>380</v>
      </c>
      <c r="J35" s="163">
        <v>440</v>
      </c>
      <c r="K35" s="163">
        <v>500</v>
      </c>
      <c r="L35" s="165">
        <v>550</v>
      </c>
    </row>
    <row r="36" spans="1:12" ht="18" customHeight="1" x14ac:dyDescent="0.35">
      <c r="A36" s="38" t="s">
        <v>13</v>
      </c>
      <c r="B36" s="164">
        <f t="shared" si="5"/>
        <v>7920</v>
      </c>
      <c r="C36" s="163">
        <v>480</v>
      </c>
      <c r="D36" s="163">
        <v>530</v>
      </c>
      <c r="E36" s="163">
        <v>600</v>
      </c>
      <c r="F36" s="163">
        <v>680</v>
      </c>
      <c r="G36" s="163">
        <v>770</v>
      </c>
      <c r="H36" s="163">
        <v>840</v>
      </c>
      <c r="I36" s="163">
        <v>920</v>
      </c>
      <c r="J36" s="163">
        <v>1000</v>
      </c>
      <c r="K36" s="163">
        <v>1000</v>
      </c>
      <c r="L36" s="165">
        <v>1100</v>
      </c>
    </row>
    <row r="37" spans="1:12" ht="18" customHeight="1" x14ac:dyDescent="0.35">
      <c r="A37" s="38" t="s">
        <v>14</v>
      </c>
      <c r="B37" s="164">
        <f t="shared" si="5"/>
        <v>1860</v>
      </c>
      <c r="C37" s="163">
        <v>120</v>
      </c>
      <c r="D37" s="163">
        <v>130</v>
      </c>
      <c r="E37" s="163">
        <v>140</v>
      </c>
      <c r="F37" s="163">
        <v>160</v>
      </c>
      <c r="G37" s="163">
        <v>180</v>
      </c>
      <c r="H37" s="163">
        <v>190</v>
      </c>
      <c r="I37" s="163">
        <v>210</v>
      </c>
      <c r="J37" s="163">
        <v>230</v>
      </c>
      <c r="K37" s="163">
        <v>240</v>
      </c>
      <c r="L37" s="165">
        <v>260</v>
      </c>
    </row>
    <row r="38" spans="1:12" ht="18" customHeight="1" x14ac:dyDescent="0.35">
      <c r="A38" s="150" t="s">
        <v>15</v>
      </c>
      <c r="B38" s="164">
        <f t="shared" si="5"/>
        <v>7360</v>
      </c>
      <c r="C38" s="163">
        <v>420</v>
      </c>
      <c r="D38" s="163">
        <v>450</v>
      </c>
      <c r="E38" s="163">
        <v>490</v>
      </c>
      <c r="F38" s="163">
        <v>540</v>
      </c>
      <c r="G38" s="163">
        <v>620</v>
      </c>
      <c r="H38" s="163">
        <v>830</v>
      </c>
      <c r="I38" s="163">
        <v>910</v>
      </c>
      <c r="J38" s="163">
        <v>1000</v>
      </c>
      <c r="K38" s="163">
        <v>1000</v>
      </c>
      <c r="L38" s="165">
        <v>1100</v>
      </c>
    </row>
    <row r="39" spans="1:12" ht="18" customHeight="1" x14ac:dyDescent="0.35">
      <c r="A39" s="150" t="s">
        <v>17</v>
      </c>
      <c r="B39" s="164">
        <f t="shared" si="5"/>
        <v>4840</v>
      </c>
      <c r="C39" s="163">
        <v>250</v>
      </c>
      <c r="D39" s="163">
        <v>290</v>
      </c>
      <c r="E39" s="163">
        <v>340</v>
      </c>
      <c r="F39" s="163">
        <v>410</v>
      </c>
      <c r="G39" s="163">
        <v>470</v>
      </c>
      <c r="H39" s="163">
        <v>520</v>
      </c>
      <c r="I39" s="163">
        <v>580</v>
      </c>
      <c r="J39" s="163">
        <v>620</v>
      </c>
      <c r="K39" s="163">
        <v>660</v>
      </c>
      <c r="L39" s="165">
        <v>700</v>
      </c>
    </row>
    <row r="40" spans="1:12" ht="18" customHeight="1" x14ac:dyDescent="0.35">
      <c r="A40" s="38" t="s">
        <v>19</v>
      </c>
      <c r="B40" s="164">
        <f t="shared" si="5"/>
        <v>2910</v>
      </c>
      <c r="C40" s="163">
        <v>200</v>
      </c>
      <c r="D40" s="163">
        <v>220</v>
      </c>
      <c r="E40" s="163">
        <v>230</v>
      </c>
      <c r="F40" s="163">
        <v>250</v>
      </c>
      <c r="G40" s="163">
        <v>280</v>
      </c>
      <c r="H40" s="163">
        <v>300</v>
      </c>
      <c r="I40" s="163">
        <v>320</v>
      </c>
      <c r="J40" s="163">
        <v>340</v>
      </c>
      <c r="K40" s="163">
        <v>370</v>
      </c>
      <c r="L40" s="165">
        <v>400</v>
      </c>
    </row>
    <row r="41" spans="1:12" ht="18.75" customHeight="1" thickBot="1" x14ac:dyDescent="0.4">
      <c r="A41" s="299" t="s">
        <v>26</v>
      </c>
      <c r="B41" s="367">
        <f>SUM(B32:B40)</f>
        <v>53490</v>
      </c>
      <c r="C41" s="368">
        <f t="shared" ref="C41:L41" si="6">SUM(C32:C40)</f>
        <v>3250</v>
      </c>
      <c r="D41" s="368">
        <f t="shared" si="6"/>
        <v>3530</v>
      </c>
      <c r="E41" s="368">
        <f t="shared" si="6"/>
        <v>3920</v>
      </c>
      <c r="F41" s="368">
        <f t="shared" si="6"/>
        <v>4310</v>
      </c>
      <c r="G41" s="368">
        <f t="shared" si="6"/>
        <v>4940</v>
      </c>
      <c r="H41" s="368">
        <f t="shared" si="6"/>
        <v>5570</v>
      </c>
      <c r="I41" s="368">
        <f t="shared" si="6"/>
        <v>6210</v>
      </c>
      <c r="J41" s="368">
        <f t="shared" si="6"/>
        <v>6750</v>
      </c>
      <c r="K41" s="368">
        <f t="shared" si="6"/>
        <v>7220</v>
      </c>
      <c r="L41" s="369">
        <f t="shared" si="6"/>
        <v>7790</v>
      </c>
    </row>
    <row r="42" spans="1:12" ht="24" customHeight="1" x14ac:dyDescent="0.35"/>
    <row r="43" spans="1:12" ht="24" customHeight="1" x14ac:dyDescent="0.35">
      <c r="A43" s="433" t="s">
        <v>260</v>
      </c>
    </row>
    <row r="44" spans="1:12" x14ac:dyDescent="0.35">
      <c r="A44" s="13" t="s">
        <v>71</v>
      </c>
    </row>
    <row r="45" spans="1:12" x14ac:dyDescent="0.35">
      <c r="A45" s="434" t="s">
        <v>264</v>
      </c>
    </row>
    <row r="46" spans="1:12" x14ac:dyDescent="0.35">
      <c r="A46" s="552" t="s">
        <v>261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</row>
    <row r="47" spans="1:12" ht="15" customHeight="1" x14ac:dyDescent="0.35">
      <c r="A47" s="552" t="s">
        <v>263</v>
      </c>
      <c r="B47" s="552"/>
      <c r="C47" s="552"/>
      <c r="D47" s="552"/>
      <c r="E47" s="552"/>
      <c r="F47" s="552"/>
      <c r="G47" s="552"/>
      <c r="H47" s="552"/>
      <c r="I47" s="552"/>
      <c r="J47" s="552"/>
      <c r="K47" s="552"/>
      <c r="L47" s="552"/>
    </row>
    <row r="48" spans="1:12" ht="15" customHeight="1" x14ac:dyDescent="0.35">
      <c r="A48" s="552" t="s">
        <v>262</v>
      </c>
      <c r="B48" s="552"/>
      <c r="C48" s="552"/>
      <c r="D48" s="552"/>
      <c r="E48" s="552"/>
      <c r="F48" s="552"/>
      <c r="G48" s="552"/>
      <c r="H48" s="552"/>
      <c r="I48" s="552"/>
      <c r="J48" s="552"/>
      <c r="K48" s="552"/>
      <c r="L48" s="552"/>
    </row>
    <row r="49" ht="15" customHeight="1" x14ac:dyDescent="0.35"/>
    <row r="50" ht="15" customHeight="1" x14ac:dyDescent="0.35"/>
    <row r="51" ht="15" customHeight="1" x14ac:dyDescent="0.35"/>
    <row r="52" ht="15" customHeight="1" x14ac:dyDescent="0.35"/>
    <row r="54" ht="31.5" customHeight="1" x14ac:dyDescent="0.35"/>
    <row r="55" ht="15" customHeight="1" x14ac:dyDescent="0.35"/>
    <row r="56" ht="31.5" customHeight="1" x14ac:dyDescent="0.35"/>
    <row r="57" ht="15" customHeight="1" x14ac:dyDescent="0.35"/>
    <row r="58" ht="15" customHeight="1" x14ac:dyDescent="0.35"/>
    <row r="59" ht="15" customHeight="1" x14ac:dyDescent="0.35"/>
  </sheetData>
  <mergeCells count="6">
    <mergeCell ref="A48:L48"/>
    <mergeCell ref="B16:L16"/>
    <mergeCell ref="B2:L2"/>
    <mergeCell ref="B30:L30"/>
    <mergeCell ref="A46:L46"/>
    <mergeCell ref="A47:L4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D898-288D-481C-B325-D8B1AB6EB6C7}">
  <sheetPr codeName="Sheet27">
    <tabColor theme="3"/>
    <pageSetUpPr fitToPage="1"/>
  </sheetPr>
  <dimension ref="A1:AG122"/>
  <sheetViews>
    <sheetView showGridLines="0" view="pageBreakPreview" topLeftCell="A4" zoomScale="70" zoomScaleNormal="70" zoomScaleSheetLayoutView="70" workbookViewId="0">
      <selection activeCell="Q15" sqref="Q15"/>
    </sheetView>
  </sheetViews>
  <sheetFormatPr defaultColWidth="9.08984375" defaultRowHeight="14.5" x14ac:dyDescent="0.35"/>
  <cols>
    <col min="1" max="1" width="4.6328125" customWidth="1"/>
    <col min="2" max="2" width="19.453125" customWidth="1"/>
    <col min="3" max="11" width="16.08984375" customWidth="1"/>
    <col min="12" max="12" width="3" customWidth="1"/>
    <col min="19" max="19" width="38.6328125" style="174" customWidth="1"/>
    <col min="20" max="21" width="19.08984375" style="174" customWidth="1"/>
    <col min="22" max="22" width="11.54296875" style="174" customWidth="1"/>
    <col min="23" max="23" width="27.54296875" style="174" customWidth="1"/>
    <col min="24" max="26" width="11.54296875" style="174" customWidth="1"/>
    <col min="27" max="29" width="11.54296875" customWidth="1"/>
    <col min="30" max="32" width="11.36328125" customWidth="1"/>
  </cols>
  <sheetData>
    <row r="1" spans="1:33" ht="57" customHeight="1" x14ac:dyDescent="1.25">
      <c r="A1" s="170"/>
      <c r="B1" s="171" t="str">
        <f>VLOOKUP(Q1, 'French Country Names'!$A$4:$B$74, 2, FALSE)</f>
        <v>Togo</v>
      </c>
      <c r="C1" s="172"/>
      <c r="D1" s="172"/>
      <c r="E1" s="172"/>
      <c r="F1" s="172"/>
      <c r="G1" s="172"/>
      <c r="H1" s="172"/>
      <c r="I1" s="172"/>
      <c r="J1" s="172"/>
      <c r="K1" s="172"/>
      <c r="L1" s="173"/>
      <c r="Q1" s="562" t="s">
        <v>19</v>
      </c>
      <c r="R1" s="562"/>
      <c r="S1" s="562"/>
    </row>
    <row r="2" spans="1:33" ht="30.75" customHeight="1" x14ac:dyDescent="0.65">
      <c r="A2" s="175"/>
      <c r="B2" s="176" t="s">
        <v>248</v>
      </c>
      <c r="C2" s="175"/>
      <c r="D2" s="175"/>
      <c r="E2" s="175"/>
      <c r="F2" s="175"/>
      <c r="G2" s="175"/>
      <c r="H2" s="175"/>
      <c r="I2" s="175"/>
      <c r="J2" s="175"/>
      <c r="K2" s="175"/>
      <c r="L2" s="177"/>
    </row>
    <row r="3" spans="1:33" ht="6.75" customHeight="1" x14ac:dyDescent="0.35"/>
    <row r="4" spans="1:33" ht="6.75" customHeight="1" x14ac:dyDescent="0.35">
      <c r="B4" s="178"/>
      <c r="E4" s="179"/>
      <c r="F4" s="179"/>
      <c r="G4" s="180"/>
      <c r="H4" s="21"/>
      <c r="I4" s="21"/>
      <c r="J4" s="21"/>
    </row>
    <row r="5" spans="1:33" ht="26.25" customHeight="1" x14ac:dyDescent="0.35">
      <c r="B5" s="313">
        <v>2011</v>
      </c>
      <c r="C5" s="314">
        <v>2012</v>
      </c>
      <c r="D5" s="314">
        <v>2013</v>
      </c>
      <c r="E5" s="314">
        <v>2014</v>
      </c>
      <c r="F5" s="314">
        <v>2015</v>
      </c>
      <c r="G5" s="314">
        <v>2016</v>
      </c>
      <c r="H5" s="314">
        <v>2017</v>
      </c>
      <c r="I5" s="314">
        <v>2018</v>
      </c>
      <c r="J5" s="314">
        <v>2019</v>
      </c>
      <c r="K5" s="315">
        <v>2020</v>
      </c>
      <c r="L5" s="1"/>
    </row>
    <row r="6" spans="1:33" ht="20.149999999999999" customHeight="1" x14ac:dyDescent="0.35">
      <c r="B6" s="572" t="s">
        <v>201</v>
      </c>
      <c r="C6" s="573"/>
      <c r="D6" s="573"/>
      <c r="E6" s="573"/>
      <c r="F6" s="573"/>
      <c r="G6" s="573"/>
      <c r="H6" s="573"/>
      <c r="I6" s="573"/>
      <c r="J6" s="573"/>
      <c r="K6" s="574"/>
      <c r="L6" s="1"/>
    </row>
    <row r="7" spans="1:33" ht="30" customHeight="1" thickBot="1" x14ac:dyDescent="0.4">
      <c r="A7" s="181"/>
      <c r="B7" s="472">
        <f>VLOOKUP($Q$1, 'Users - Utilisateurs'!$A$5:$K$13, COLUMN(B:B), FALSE)</f>
        <v>207000</v>
      </c>
      <c r="C7" s="473">
        <f>VLOOKUP($Q$1, 'Users - Utilisateurs'!$A$5:$K$13, COLUMN(C:C), FALSE)</f>
        <v>224000</v>
      </c>
      <c r="D7" s="473">
        <f>VLOOKUP($Q$1, 'Users - Utilisateurs'!$A$5:$K$13, COLUMN(D:D), FALSE)</f>
        <v>242000</v>
      </c>
      <c r="E7" s="473">
        <f>VLOOKUP($Q$1, 'Users - Utilisateurs'!$A$5:$K$13, COLUMN(E:E), FALSE)</f>
        <v>263000</v>
      </c>
      <c r="F7" s="473">
        <f>VLOOKUP($Q$1, 'Users - Utilisateurs'!$A$5:$K$13, COLUMN(F:F), FALSE)</f>
        <v>288000</v>
      </c>
      <c r="G7" s="473">
        <f>VLOOKUP($Q$1, 'Users - Utilisateurs'!$A$5:$K$13, COLUMN(G:G), FALSE)</f>
        <v>309000</v>
      </c>
      <c r="H7" s="473">
        <f>VLOOKUP($Q$1, 'Users - Utilisateurs'!$A$5:$K$13, COLUMN(H:H), FALSE)</f>
        <v>332000</v>
      </c>
      <c r="I7" s="473">
        <f>VLOOKUP($Q$1, 'Users - Utilisateurs'!$A$5:$K$13, COLUMN(I:I), FALSE)</f>
        <v>356000</v>
      </c>
      <c r="J7" s="473">
        <f>VLOOKUP($Q$1, 'Users - Utilisateurs'!$A$5:$K$13, COLUMN(J:J), FALSE)</f>
        <v>385000</v>
      </c>
      <c r="K7" s="474">
        <f>VLOOKUP($Q$1, 'Users - Utilisateurs'!$A$5:$K$13, COLUMN(K:K), FALSE)</f>
        <v>416000</v>
      </c>
      <c r="L7" s="334"/>
      <c r="T7" s="174">
        <v>2019.5</v>
      </c>
      <c r="U7" s="174">
        <v>2020.5</v>
      </c>
    </row>
    <row r="8" spans="1:33" ht="20.149999999999999" customHeight="1" thickBot="1" x14ac:dyDescent="0.4">
      <c r="A8" s="181"/>
      <c r="B8" s="572" t="s">
        <v>225</v>
      </c>
      <c r="C8" s="573"/>
      <c r="D8" s="573"/>
      <c r="E8" s="573"/>
      <c r="F8" s="573"/>
      <c r="G8" s="573"/>
      <c r="H8" s="573"/>
      <c r="I8" s="573"/>
      <c r="J8" s="573"/>
      <c r="K8" s="574"/>
      <c r="L8" s="334"/>
      <c r="W8" s="186" t="s">
        <v>223</v>
      </c>
    </row>
    <row r="9" spans="1:33" ht="30" customHeight="1" thickBot="1" x14ac:dyDescent="0.4">
      <c r="A9" s="181"/>
      <c r="B9" s="472" t="s">
        <v>202</v>
      </c>
      <c r="C9" s="473">
        <f t="shared" ref="C9:K9" si="0">C7-$B$7</f>
        <v>17000</v>
      </c>
      <c r="D9" s="473">
        <f t="shared" si="0"/>
        <v>35000</v>
      </c>
      <c r="E9" s="473">
        <f t="shared" si="0"/>
        <v>56000</v>
      </c>
      <c r="F9" s="473">
        <f t="shared" si="0"/>
        <v>81000</v>
      </c>
      <c r="G9" s="473">
        <f t="shared" si="0"/>
        <v>102000</v>
      </c>
      <c r="H9" s="473">
        <f t="shared" si="0"/>
        <v>125000</v>
      </c>
      <c r="I9" s="473">
        <f t="shared" si="0"/>
        <v>149000</v>
      </c>
      <c r="J9" s="473">
        <f t="shared" si="0"/>
        <v>178000</v>
      </c>
      <c r="K9" s="474">
        <f t="shared" si="0"/>
        <v>209000</v>
      </c>
      <c r="L9" s="335"/>
      <c r="S9" s="182"/>
      <c r="T9" s="183" t="s">
        <v>79</v>
      </c>
      <c r="U9" s="183" t="s">
        <v>80</v>
      </c>
      <c r="V9"/>
      <c r="W9" s="184"/>
      <c r="X9" s="185">
        <v>2015</v>
      </c>
      <c r="Y9" s="185">
        <v>2016</v>
      </c>
      <c r="Z9" s="185">
        <v>2017</v>
      </c>
      <c r="AA9" s="185">
        <v>2018</v>
      </c>
      <c r="AB9" s="185">
        <v>2019</v>
      </c>
      <c r="AC9" s="185">
        <v>2020</v>
      </c>
      <c r="AD9" s="185">
        <v>2017</v>
      </c>
      <c r="AE9" s="185">
        <v>2018</v>
      </c>
      <c r="AF9" s="185">
        <v>2019</v>
      </c>
      <c r="AG9" s="185">
        <v>2020</v>
      </c>
    </row>
    <row r="10" spans="1:33" ht="20.149999999999999" customHeight="1" thickBot="1" x14ac:dyDescent="0.4">
      <c r="A10" s="181"/>
      <c r="B10" s="572" t="s">
        <v>226</v>
      </c>
      <c r="C10" s="573"/>
      <c r="D10" s="573"/>
      <c r="E10" s="573"/>
      <c r="F10" s="573"/>
      <c r="G10" s="573"/>
      <c r="H10" s="573"/>
      <c r="I10" s="573"/>
      <c r="J10" s="573"/>
      <c r="K10" s="574"/>
      <c r="L10" s="1"/>
      <c r="S10" s="182"/>
      <c r="T10" s="183"/>
      <c r="U10" s="183"/>
      <c r="V10"/>
      <c r="W10" s="186">
        <v>2016</v>
      </c>
      <c r="X10" s="269" t="str">
        <f>F11</f>
        <v>-</v>
      </c>
      <c r="Y10" s="269">
        <f>$G$11</f>
        <v>21000</v>
      </c>
      <c r="Z10" s="269">
        <f>$G$11</f>
        <v>21000</v>
      </c>
      <c r="AA10" s="269">
        <f>$G$11</f>
        <v>21000</v>
      </c>
      <c r="AB10" s="269">
        <f>$G$11</f>
        <v>21000</v>
      </c>
      <c r="AC10" s="269">
        <f>$G$11</f>
        <v>21000</v>
      </c>
      <c r="AD10" s="270"/>
      <c r="AE10" s="270"/>
      <c r="AF10" s="271"/>
      <c r="AG10" s="16"/>
    </row>
    <row r="11" spans="1:33" ht="30" customHeight="1" thickBot="1" x14ac:dyDescent="0.4">
      <c r="A11" s="181"/>
      <c r="B11" s="475" t="s">
        <v>202</v>
      </c>
      <c r="C11" s="476" t="s">
        <v>202</v>
      </c>
      <c r="D11" s="476" t="s">
        <v>202</v>
      </c>
      <c r="E11" s="476" t="s">
        <v>202</v>
      </c>
      <c r="F11" s="476" t="s">
        <v>202</v>
      </c>
      <c r="G11" s="473">
        <f>G7-$F$7</f>
        <v>21000</v>
      </c>
      <c r="H11" s="473">
        <f>H7-$F$7</f>
        <v>44000</v>
      </c>
      <c r="I11" s="473">
        <f>I7-$F$7</f>
        <v>68000</v>
      </c>
      <c r="J11" s="473">
        <f>J7-$F$7</f>
        <v>97000</v>
      </c>
      <c r="K11" s="474">
        <f>K7-$F$7</f>
        <v>128000</v>
      </c>
      <c r="L11" s="1"/>
      <c r="S11" s="182"/>
      <c r="T11" s="183"/>
      <c r="U11" s="183"/>
      <c r="V11"/>
      <c r="W11" s="274">
        <v>2017</v>
      </c>
      <c r="X11" s="275"/>
      <c r="Y11" s="275"/>
      <c r="Z11" s="269">
        <f>$H$11-Z10</f>
        <v>23000</v>
      </c>
      <c r="AA11" s="269">
        <f>$H$11-AA10</f>
        <v>23000</v>
      </c>
      <c r="AB11" s="269">
        <f>$H$11-AB10</f>
        <v>23000</v>
      </c>
      <c r="AC11" s="269">
        <f>$H$11-AC10</f>
        <v>23000</v>
      </c>
      <c r="AD11" s="272"/>
      <c r="AE11" s="270"/>
      <c r="AF11" s="273"/>
      <c r="AG11" s="16"/>
    </row>
    <row r="12" spans="1:33" ht="49.5" customHeight="1" thickBot="1" x14ac:dyDescent="0.4">
      <c r="A12" s="181"/>
      <c r="L12" s="1"/>
      <c r="S12" s="182"/>
      <c r="T12" s="183"/>
      <c r="U12" s="183"/>
      <c r="V12"/>
      <c r="W12" s="186">
        <v>2018</v>
      </c>
      <c r="X12" s="269"/>
      <c r="Y12" s="269"/>
      <c r="Z12" s="269"/>
      <c r="AA12" s="269">
        <f>$I$11-SUM(AA10:AA11)</f>
        <v>24000</v>
      </c>
      <c r="AB12" s="269">
        <f>$I$11-SUM(AB10:AB11)</f>
        <v>24000</v>
      </c>
      <c r="AC12" s="269">
        <f>$I$11-SUM(AC10:AC11)</f>
        <v>24000</v>
      </c>
      <c r="AD12" s="270"/>
      <c r="AE12" s="270"/>
      <c r="AF12" s="271"/>
      <c r="AG12" s="16"/>
    </row>
    <row r="13" spans="1:33" ht="49.5" customHeight="1" thickBot="1" x14ac:dyDescent="0.4">
      <c r="A13" s="181"/>
      <c r="L13" s="1"/>
      <c r="S13"/>
      <c r="T13"/>
      <c r="U13"/>
      <c r="V13"/>
      <c r="W13" s="187">
        <v>2019</v>
      </c>
      <c r="X13" s="272"/>
      <c r="Y13" s="272"/>
      <c r="Z13" s="272"/>
      <c r="AA13" s="272"/>
      <c r="AB13" s="269">
        <f>$J$11-SUM(AB10:AB12)</f>
        <v>29000</v>
      </c>
      <c r="AC13" s="269">
        <f>$J$11-SUM(AC10:AC12)</f>
        <v>29000</v>
      </c>
      <c r="AD13" s="272"/>
      <c r="AE13" s="270"/>
      <c r="AF13" s="273"/>
    </row>
    <row r="14" spans="1:33" ht="49.5" customHeight="1" thickBot="1" x14ac:dyDescent="0.4">
      <c r="A14" s="181"/>
      <c r="L14" s="1"/>
      <c r="S14"/>
      <c r="T14"/>
      <c r="U14"/>
      <c r="V14"/>
      <c r="W14" s="174">
        <v>2020</v>
      </c>
      <c r="X14" s="275"/>
      <c r="Y14" s="275"/>
      <c r="Z14" s="275"/>
      <c r="AA14" s="16"/>
      <c r="AB14" s="16"/>
      <c r="AC14" s="269">
        <f>$K$11-SUM(AC10:AC13)</f>
        <v>31000</v>
      </c>
      <c r="AD14" s="276"/>
      <c r="AE14" s="276"/>
      <c r="AF14" s="271"/>
    </row>
    <row r="15" spans="1:33" ht="49.5" customHeight="1" thickBot="1" x14ac:dyDescent="0.4">
      <c r="L15" s="1"/>
      <c r="S15"/>
      <c r="T15"/>
      <c r="U15"/>
      <c r="V15"/>
      <c r="W15" s="186" t="s">
        <v>224</v>
      </c>
      <c r="X15" s="272">
        <f>$AC$15</f>
        <v>141000</v>
      </c>
      <c r="Y15" s="272">
        <f>$AC$15</f>
        <v>141000</v>
      </c>
      <c r="Z15" s="272">
        <f>$AC$15</f>
        <v>141000</v>
      </c>
      <c r="AA15" s="272">
        <f>$AC$15</f>
        <v>141000</v>
      </c>
      <c r="AB15" s="272">
        <f>$AC$15</f>
        <v>141000</v>
      </c>
      <c r="AC15" s="272">
        <f>VLOOKUP(Q1, 'OP Goals'!$A$3:$J$12, 10, FALSE)</f>
        <v>141000</v>
      </c>
      <c r="AD15" s="16"/>
      <c r="AE15" s="16"/>
      <c r="AF15" s="16"/>
    </row>
    <row r="16" spans="1:33" ht="49.5" customHeight="1" x14ac:dyDescent="0.35">
      <c r="L16" s="1"/>
      <c r="S16"/>
      <c r="T16"/>
      <c r="U16"/>
      <c r="V16"/>
    </row>
    <row r="17" spans="1:32" ht="49.5" customHeight="1" x14ac:dyDescent="0.35">
      <c r="L17" s="1"/>
      <c r="R17" s="188"/>
      <c r="S17"/>
      <c r="T17" s="291">
        <v>2020.5</v>
      </c>
      <c r="U17"/>
      <c r="V17"/>
      <c r="W17"/>
      <c r="X17"/>
      <c r="Y17"/>
      <c r="Z17"/>
    </row>
    <row r="18" spans="1:32" ht="26.25" customHeight="1" x14ac:dyDescent="0.35">
      <c r="B18" s="316">
        <v>2011</v>
      </c>
      <c r="C18" s="317">
        <v>2012</v>
      </c>
      <c r="D18" s="317">
        <v>2013</v>
      </c>
      <c r="E18" s="317">
        <v>2014</v>
      </c>
      <c r="F18" s="317">
        <v>2015</v>
      </c>
      <c r="G18" s="317">
        <v>2016</v>
      </c>
      <c r="H18" s="317">
        <v>2017</v>
      </c>
      <c r="I18" s="317">
        <v>2018</v>
      </c>
      <c r="J18" s="317">
        <v>2019</v>
      </c>
      <c r="K18" s="318">
        <v>2020</v>
      </c>
      <c r="L18" s="1"/>
      <c r="S18" s="174" t="s">
        <v>21</v>
      </c>
      <c r="T18" s="174">
        <f>VLOOKUP($Q$1, Impacts!$A$3:$L$12, MATCH('Country Handout (FR)'!$T$17, Impacts!$A$3:$L$3, 0), FALSE)</f>
        <v>152000</v>
      </c>
      <c r="W18"/>
      <c r="X18"/>
      <c r="Y18"/>
      <c r="Z18"/>
    </row>
    <row r="19" spans="1:32" ht="20.149999999999999" customHeight="1" x14ac:dyDescent="0.35">
      <c r="B19" s="563" t="s">
        <v>227</v>
      </c>
      <c r="C19" s="564"/>
      <c r="D19" s="564"/>
      <c r="E19" s="564"/>
      <c r="F19" s="564"/>
      <c r="G19" s="564"/>
      <c r="H19" s="564"/>
      <c r="I19" s="564"/>
      <c r="J19" s="564"/>
      <c r="K19" s="565"/>
      <c r="L19" s="1"/>
      <c r="S19" s="174" t="s">
        <v>22</v>
      </c>
      <c r="T19" s="174">
        <f>VLOOKUP($Q$1, Impacts!$A$17:$L$27, MATCH('Country Handout (FR)'!$T$17, Impacts!$A$17:$L$17, 0), FALSE)</f>
        <v>54000</v>
      </c>
      <c r="W19"/>
      <c r="X19"/>
      <c r="Y19"/>
      <c r="Z19"/>
    </row>
    <row r="20" spans="1:32" ht="30" customHeight="1" x14ac:dyDescent="0.35">
      <c r="A20" s="181"/>
      <c r="B20" s="336">
        <f>VLOOKUP($Q$1, 'mCPR - TPCM'!$A$5:$U$13, COLUMN(L:L),FALSE)</f>
        <v>0.13071028037383178</v>
      </c>
      <c r="C20" s="337">
        <f>VLOOKUP($Q$1, 'mCPR - TPCM'!$A$5:$U$13, COLUMN(M:M),FALSE)</f>
        <v>0.13777570093457944</v>
      </c>
      <c r="D20" s="337">
        <f>VLOOKUP($Q$1, 'mCPR - TPCM'!$A$5:$U$13, COLUMN(N:N),FALSE)</f>
        <v>0.1448411214953271</v>
      </c>
      <c r="E20" s="337">
        <f>VLOOKUP($Q$1, 'mCPR - TPCM'!$A$5:$U$13, COLUMN(O:O),FALSE)</f>
        <v>0.15278971962616822</v>
      </c>
      <c r="F20" s="337">
        <f>VLOOKUP($Q$1, 'mCPR - TPCM'!$A$5:$U$13, COLUMN(P:P),FALSE)</f>
        <v>0.16250467289719628</v>
      </c>
      <c r="G20" s="337">
        <f>VLOOKUP($Q$1, 'mCPR - TPCM'!$A$5:$U$13, COLUMN(Q:Q),FALSE)</f>
        <v>0.16957009345794394</v>
      </c>
      <c r="H20" s="337">
        <f>VLOOKUP($Q$1, 'mCPR - TPCM'!$A$5:$U$13, COLUMN(R:R),FALSE)</f>
        <v>0.17751869158878505</v>
      </c>
      <c r="I20" s="337">
        <f>VLOOKUP($Q$1, 'mCPR - TPCM'!$A$5:$U$13, COLUMN(S:S),FALSE)</f>
        <v>0.18458411214953271</v>
      </c>
      <c r="J20" s="337">
        <f>VLOOKUP($Q$1, 'mCPR - TPCM'!$A$5:$U$13, COLUMN(T:T),FALSE)</f>
        <v>0.19429906542056075</v>
      </c>
      <c r="K20" s="435">
        <f>VLOOKUP($Q$1, 'mCPR - TPCM'!$A$5:$U$13, COLUMN(U:U),FALSE)</f>
        <v>0.20401401869158881</v>
      </c>
      <c r="L20" s="334"/>
      <c r="S20" s="174" t="s">
        <v>23</v>
      </c>
      <c r="T20" s="174">
        <f>VLOOKUP($Q$1, Impacts!$A$31:$L$40, MATCH('Country Handout (FR)'!$T$17, Impacts!$A$31:$L$31, 0), FALSE)</f>
        <v>400</v>
      </c>
      <c r="W20"/>
      <c r="X20"/>
      <c r="Y20"/>
      <c r="Z20"/>
    </row>
    <row r="21" spans="1:32" ht="20.149999999999999" customHeight="1" x14ac:dyDescent="0.35">
      <c r="A21" s="181"/>
      <c r="B21" s="563" t="s">
        <v>228</v>
      </c>
      <c r="C21" s="564"/>
      <c r="D21" s="564"/>
      <c r="E21" s="564"/>
      <c r="F21" s="564"/>
      <c r="G21" s="564"/>
      <c r="H21" s="564"/>
      <c r="I21" s="564"/>
      <c r="J21" s="564"/>
      <c r="K21" s="565"/>
      <c r="L21" s="334"/>
      <c r="W21"/>
      <c r="X21"/>
      <c r="Y21"/>
      <c r="Z21"/>
    </row>
    <row r="22" spans="1:32" ht="30" customHeight="1" x14ac:dyDescent="0.35">
      <c r="A22" s="181"/>
      <c r="B22" s="336">
        <f>VLOOKUP($Q$1, 'mCPR - TPCM'!$A$5:$U$13, COLUMN(B:B),FALSE)</f>
        <v>0.14799999999999999</v>
      </c>
      <c r="C22" s="337">
        <f>VLOOKUP($Q$1, 'mCPR - TPCM'!$A$5:$U$13, COLUMN(C:C),FALSE)</f>
        <v>0.156</v>
      </c>
      <c r="D22" s="337">
        <f>VLOOKUP($Q$1, 'mCPR - TPCM'!$A$5:$U$13, COLUMN(D:D),FALSE)</f>
        <v>0.16400000000000001</v>
      </c>
      <c r="E22" s="337">
        <f>VLOOKUP($Q$1, 'mCPR - TPCM'!$A$5:$U$13, COLUMN(E:E),FALSE)</f>
        <v>0.17299999999999999</v>
      </c>
      <c r="F22" s="337">
        <f>VLOOKUP($Q$1, 'mCPR - TPCM'!$A$5:$U$13, COLUMN(F:F),FALSE)</f>
        <v>0.184</v>
      </c>
      <c r="G22" s="337">
        <f>VLOOKUP($Q$1, 'mCPR - TPCM'!$A$5:$U$13, COLUMN(G:G),FALSE)</f>
        <v>0.192</v>
      </c>
      <c r="H22" s="337">
        <f>VLOOKUP($Q$1, 'mCPR - TPCM'!$A$5:$U$13, COLUMN(H:H),FALSE)</f>
        <v>0.20100000000000001</v>
      </c>
      <c r="I22" s="337">
        <f>VLOOKUP($Q$1, 'mCPR - TPCM'!$A$5:$U$13, COLUMN(I:I),FALSE)</f>
        <v>0.20899999999999999</v>
      </c>
      <c r="J22" s="337">
        <f>VLOOKUP($Q$1, 'mCPR - TPCM'!$A$5:$U$13, COLUMN(J:J),FALSE)</f>
        <v>0.22</v>
      </c>
      <c r="K22" s="435">
        <f>VLOOKUP($Q$1, 'mCPR - TPCM'!$A$5:$U$13, COLUMN(K:K),FALSE)</f>
        <v>0.23100000000000001</v>
      </c>
      <c r="L22" s="260"/>
      <c r="S22" s="182"/>
      <c r="T22" s="183" t="s">
        <v>81</v>
      </c>
      <c r="U22" s="183" t="s">
        <v>3</v>
      </c>
      <c r="V22" t="s">
        <v>82</v>
      </c>
      <c r="W22"/>
      <c r="X22"/>
      <c r="Y22"/>
      <c r="Z22"/>
    </row>
    <row r="23" spans="1:32" ht="20.149999999999999" customHeight="1" x14ac:dyDescent="0.35">
      <c r="A23" s="181"/>
      <c r="B23" s="563" t="s">
        <v>229</v>
      </c>
      <c r="C23" s="564"/>
      <c r="D23" s="564"/>
      <c r="E23" s="564"/>
      <c r="F23" s="564"/>
      <c r="G23" s="564"/>
      <c r="H23" s="564"/>
      <c r="I23" s="564"/>
      <c r="J23" s="564"/>
      <c r="K23" s="565"/>
      <c r="L23" s="334"/>
      <c r="W23"/>
      <c r="X23"/>
      <c r="Y23"/>
      <c r="Z23"/>
    </row>
    <row r="24" spans="1:32" ht="30" customHeight="1" x14ac:dyDescent="0.35">
      <c r="A24" s="181"/>
      <c r="B24" s="336">
        <f>VLOOKUP($Q$1, 'BNS - BS'!$A$5:$U$14, COLUMN(B:B), FALSE)</f>
        <v>0.374</v>
      </c>
      <c r="C24" s="337">
        <f>VLOOKUP($Q$1, 'BNS - BS'!$A$5:$U$14, COLUMN(C:C), FALSE)</f>
        <v>0.37</v>
      </c>
      <c r="D24" s="337">
        <f>VLOOKUP($Q$1, 'BNS - BS'!$A$5:$U$14, COLUMN(D:D), FALSE)</f>
        <v>0.36699999999999999</v>
      </c>
      <c r="E24" s="337">
        <f>VLOOKUP($Q$1, 'BNS - BS'!$A$5:$U$14, COLUMN(E:E), FALSE)</f>
        <v>0.36399999999999999</v>
      </c>
      <c r="F24" s="337">
        <f>VLOOKUP($Q$1, 'BNS - BS'!$A$5:$U$14, COLUMN(F:F), FALSE)</f>
        <v>0.36099999999999999</v>
      </c>
      <c r="G24" s="337">
        <f>VLOOKUP($Q$1, 'BNS - BS'!$A$5:$U$14, COLUMN(G:G), FALSE)</f>
        <v>0.35799999999999998</v>
      </c>
      <c r="H24" s="337">
        <f>VLOOKUP($Q$1, 'BNS - BS'!$A$5:$U$14, COLUMN(H:H), FALSE)</f>
        <v>0.35499999999999998</v>
      </c>
      <c r="I24" s="337">
        <f>VLOOKUP($Q$1, 'BNS - BS'!$A$5:$U$14, COLUMN(I:I), FALSE)</f>
        <v>0.35099999999999998</v>
      </c>
      <c r="J24" s="337">
        <f>VLOOKUP($Q$1, 'BNS - BS'!$A$5:$U$14, COLUMN(J:J), FALSE)</f>
        <v>0.34699999999999998</v>
      </c>
      <c r="K24" s="435">
        <f>VLOOKUP($Q$1, 'BNS - BS'!$A$5:$U$14, COLUMN(K:K), FALSE)</f>
        <v>0.34300000000000003</v>
      </c>
      <c r="L24" s="260"/>
      <c r="N24" s="338"/>
      <c r="S24" s="182"/>
      <c r="T24" s="183" t="s">
        <v>81</v>
      </c>
      <c r="U24" s="183" t="s">
        <v>3</v>
      </c>
      <c r="V24" t="s">
        <v>82</v>
      </c>
      <c r="W24"/>
      <c r="X24"/>
      <c r="Y24"/>
      <c r="Z24"/>
    </row>
    <row r="25" spans="1:32" ht="20.149999999999999" customHeight="1" x14ac:dyDescent="0.35">
      <c r="A25" s="181"/>
      <c r="B25" s="563" t="s">
        <v>230</v>
      </c>
      <c r="C25" s="564"/>
      <c r="D25" s="564"/>
      <c r="E25" s="564"/>
      <c r="F25" s="564"/>
      <c r="G25" s="564"/>
      <c r="H25" s="564"/>
      <c r="I25" s="564"/>
      <c r="J25" s="564"/>
      <c r="K25" s="565"/>
      <c r="L25" s="1"/>
      <c r="S25" s="182" t="s">
        <v>83</v>
      </c>
      <c r="T25" s="183"/>
      <c r="U25" s="183" t="str">
        <f>VLOOKUP($Q$1, 'Method Mix'!$C$5:$O$13, 2, FALSE)</f>
        <v>MICS 2017</v>
      </c>
      <c r="V25"/>
      <c r="W25"/>
      <c r="X25"/>
      <c r="Y25"/>
      <c r="Z25"/>
    </row>
    <row r="26" spans="1:32" ht="30" customHeight="1" x14ac:dyDescent="0.35">
      <c r="A26" s="181"/>
      <c r="B26" s="336">
        <f>VLOOKUP($Q$1, 'BNS - BS'!$A$5:$U$14, COLUMN(L:L), FALSE)</f>
        <v>0.28299999999999997</v>
      </c>
      <c r="C26" s="337">
        <f>VLOOKUP($Q$1, 'BNS - BS'!$A$5:$U$14, COLUMN(M:M), FALSE)</f>
        <v>0.29699999999999999</v>
      </c>
      <c r="D26" s="337">
        <f>VLOOKUP($Q$1, 'BNS - BS'!$A$5:$U$14, COLUMN(N:N), FALSE)</f>
        <v>0.309</v>
      </c>
      <c r="E26" s="337">
        <f>VLOOKUP($Q$1, 'BNS - BS'!$A$5:$U$14, COLUMN(O:O), FALSE)</f>
        <v>0.32300000000000001</v>
      </c>
      <c r="F26" s="337">
        <f>VLOOKUP($Q$1, 'BNS - BS'!$A$5:$U$14, COLUMN(P:P), FALSE)</f>
        <v>0.33600000000000002</v>
      </c>
      <c r="G26" s="337">
        <f>VLOOKUP($Q$1, 'BNS - BS'!$A$5:$U$14, COLUMN(Q:Q), FALSE)</f>
        <v>0.34899999999999998</v>
      </c>
      <c r="H26" s="337">
        <f>VLOOKUP($Q$1, 'BNS - BS'!$A$5:$U$14, COLUMN(R:R), FALSE)</f>
        <v>0.36</v>
      </c>
      <c r="I26" s="337">
        <f>VLOOKUP($Q$1, 'BNS - BS'!$A$5:$U$14, COLUMN(S:S), FALSE)</f>
        <v>0.372</v>
      </c>
      <c r="J26" s="337">
        <f>VLOOKUP($Q$1, 'BNS - BS'!$A$5:$U$14, COLUMN(T:T), FALSE)</f>
        <v>0.38800000000000001</v>
      </c>
      <c r="K26" s="435">
        <f>VLOOKUP($Q$1, 'BNS - BS'!$A$5:$U$14, COLUMN(U:U), FALSE)</f>
        <v>0.40200000000000002</v>
      </c>
      <c r="L26" s="1"/>
      <c r="P26" s="189" t="s">
        <v>214</v>
      </c>
      <c r="S26" s="189" t="s">
        <v>85</v>
      </c>
      <c r="T26" s="190">
        <f>IF(VLOOKUP($Q$1, 'Method Mix'!$C$5:$O$13, MATCH('Country Handout (FR)'!$P26, 'Method Mix'!$C$4:$O$4,0), FALSE)/100=0, NA(), VLOOKUP($Q$1, 'Method Mix'!$C$5:$O$13, MATCH('Country Handout (FR)'!$P26, 'Method Mix'!$C$4:$O$4,0), FALSE)/100)</f>
        <v>3.6842105263157891E-2</v>
      </c>
      <c r="U26" s="312">
        <f t="shared" ref="U26:U31" si="1">IF(T26&gt;2%, T26, "")</f>
        <v>3.6842105263157891E-2</v>
      </c>
      <c r="V26"/>
      <c r="W26"/>
      <c r="X26"/>
      <c r="Y26"/>
      <c r="Z26"/>
    </row>
    <row r="27" spans="1:32" ht="11.25" customHeight="1" x14ac:dyDescent="0.55000000000000004">
      <c r="A27" s="181"/>
      <c r="B27" s="259"/>
      <c r="C27" s="260"/>
      <c r="D27" s="260"/>
      <c r="E27" s="260"/>
      <c r="F27" s="260"/>
      <c r="G27" s="260"/>
      <c r="H27" s="261"/>
      <c r="I27" s="261"/>
      <c r="J27" s="261"/>
      <c r="K27" s="261"/>
      <c r="L27" s="1"/>
      <c r="P27" s="189" t="s">
        <v>215</v>
      </c>
      <c r="S27" s="189" t="s">
        <v>87</v>
      </c>
      <c r="T27" s="190">
        <f>IF(VLOOKUP($Q$1, 'Method Mix'!$C$5:$O$13, MATCH('Country Handout (FR)'!$P27, 'Method Mix'!$C$4:$O$4,0), FALSE)/100=0, NA(), VLOOKUP($Q$1, 'Method Mix'!$C$5:$O$13, MATCH('Country Handout (FR)'!$P27, 'Method Mix'!$C$4:$O$4,0), FALSE)/100)</f>
        <v>5.263157894736842E-3</v>
      </c>
      <c r="U27" s="312" t="str">
        <f t="shared" si="1"/>
        <v/>
      </c>
      <c r="V27"/>
      <c r="W27" s="262"/>
      <c r="X27" s="263"/>
      <c r="Y27" s="263"/>
      <c r="Z27" s="263"/>
      <c r="AA27" s="263"/>
      <c r="AB27" s="263"/>
      <c r="AC27" s="263"/>
      <c r="AD27" s="263"/>
      <c r="AE27" s="263"/>
      <c r="AF27" s="263"/>
    </row>
    <row r="28" spans="1:32" ht="20.149999999999999" customHeight="1" x14ac:dyDescent="0.35">
      <c r="A28" s="181"/>
      <c r="B28" s="575" t="s">
        <v>235</v>
      </c>
      <c r="C28" s="575"/>
      <c r="D28" s="575"/>
      <c r="E28" s="575"/>
      <c r="F28" s="575"/>
      <c r="G28" s="575"/>
      <c r="H28" s="575"/>
      <c r="I28" s="575"/>
      <c r="J28" s="575"/>
      <c r="K28" s="575"/>
      <c r="L28" s="1"/>
      <c r="P28" s="189" t="s">
        <v>216</v>
      </c>
      <c r="S28" s="189" t="s">
        <v>86</v>
      </c>
      <c r="T28" s="190">
        <f>IF(VLOOKUP($Q$1, 'Method Mix'!$C$5:$O$13, MATCH('Country Handout (FR)'!$P28, 'Method Mix'!$C$4:$O$4,0), FALSE)/100=0, NA(), VLOOKUP($Q$1, 'Method Mix'!$C$5:$O$13, MATCH('Country Handout (FR)'!$P28, 'Method Mix'!$C$4:$O$4,0), FALSE)/100)</f>
        <v>3.6842105263157891E-2</v>
      </c>
      <c r="U28" s="312">
        <f t="shared" si="1"/>
        <v>3.6842105263157891E-2</v>
      </c>
      <c r="V28"/>
      <c r="W28" s="262"/>
      <c r="X28" s="263"/>
      <c r="Y28" s="263"/>
      <c r="Z28" s="263"/>
      <c r="AA28" s="263"/>
      <c r="AB28" s="263"/>
      <c r="AC28" s="263"/>
      <c r="AD28" s="263"/>
      <c r="AE28" s="263"/>
      <c r="AF28" s="263"/>
    </row>
    <row r="29" spans="1:32" ht="36.75" customHeight="1" x14ac:dyDescent="0.35">
      <c r="A29" s="181"/>
      <c r="C29" s="260"/>
      <c r="D29" s="260"/>
      <c r="E29" s="260"/>
      <c r="F29" s="260"/>
      <c r="G29" s="260"/>
      <c r="H29" s="261"/>
      <c r="I29" s="261"/>
      <c r="J29" s="261"/>
      <c r="K29" s="264" t="str">
        <f>"Source : "&amp;$U$25</f>
        <v>Source : MICS 2017</v>
      </c>
      <c r="L29" s="1"/>
      <c r="P29" s="189" t="s">
        <v>84</v>
      </c>
      <c r="S29" s="189" t="s">
        <v>84</v>
      </c>
      <c r="T29" s="190">
        <f>IF(VLOOKUP($Q$1, 'Method Mix'!$C$5:$O$13, MATCH('Country Handout (FR)'!$P29, 'Method Mix'!$C$4:$O$4,0), FALSE)/100=0, NA(), VLOOKUP($Q$1, 'Method Mix'!$C$5:$O$13, MATCH('Country Handout (FR)'!$P29, 'Method Mix'!$C$4:$O$4,0), FALSE)/100)</f>
        <v>0.20526315789473684</v>
      </c>
      <c r="U29" s="312">
        <f t="shared" si="1"/>
        <v>0.20526315789473684</v>
      </c>
      <c r="V29"/>
      <c r="W29" s="262"/>
      <c r="X29" s="263"/>
      <c r="Y29" s="263"/>
      <c r="Z29" s="263"/>
      <c r="AA29" s="263"/>
      <c r="AB29" s="263"/>
      <c r="AC29" s="263"/>
      <c r="AD29" s="263"/>
      <c r="AE29" s="263"/>
      <c r="AF29" s="263"/>
    </row>
    <row r="30" spans="1:32" ht="36.75" customHeight="1" x14ac:dyDescent="0.55000000000000004">
      <c r="A30" s="181"/>
      <c r="B30" s="259"/>
      <c r="C30" s="260"/>
      <c r="D30" s="260"/>
      <c r="E30" s="260"/>
      <c r="F30" s="260"/>
      <c r="G30" s="260"/>
      <c r="H30" s="261"/>
      <c r="I30" s="261"/>
      <c r="J30" s="261"/>
      <c r="K30" s="261"/>
      <c r="L30" s="1"/>
      <c r="P30" s="189" t="s">
        <v>217</v>
      </c>
      <c r="S30" s="189" t="s">
        <v>89</v>
      </c>
      <c r="T30" s="190">
        <f>IF(VLOOKUP($Q$1, 'Method Mix'!$C$5:$O$13, MATCH('Country Handout (FR)'!$P30, 'Method Mix'!$C$4:$O$4,0), FALSE)/100=0, NA(), VLOOKUP($Q$1, 'Method Mix'!$C$5:$O$13, MATCH('Country Handout (FR)'!$P30, 'Method Mix'!$C$4:$O$4,0), FALSE)/100)</f>
        <v>0.31578947368421051</v>
      </c>
      <c r="U30" s="312">
        <f t="shared" si="1"/>
        <v>0.31578947368421051</v>
      </c>
      <c r="V30"/>
      <c r="W30" s="262"/>
      <c r="X30" s="263"/>
      <c r="Y30" s="263"/>
      <c r="Z30" s="263"/>
      <c r="AA30" s="263"/>
      <c r="AB30" s="263"/>
      <c r="AC30" s="263"/>
      <c r="AD30" s="263"/>
      <c r="AE30" s="263"/>
      <c r="AF30" s="263"/>
    </row>
    <row r="31" spans="1:32" ht="36.75" customHeight="1" x14ac:dyDescent="0.55000000000000004">
      <c r="A31" s="181"/>
      <c r="B31" s="259"/>
      <c r="C31" s="260"/>
      <c r="D31" s="260"/>
      <c r="E31" s="260"/>
      <c r="F31" s="260"/>
      <c r="G31" s="260"/>
      <c r="H31" s="261"/>
      <c r="I31" s="261"/>
      <c r="J31" s="261"/>
      <c r="K31" s="261"/>
      <c r="L31" s="1"/>
      <c r="P31" s="189" t="s">
        <v>218</v>
      </c>
      <c r="S31" s="189" t="s">
        <v>90</v>
      </c>
      <c r="T31" s="190">
        <f>IF(VLOOKUP($Q$1, 'Method Mix'!$C$5:$O$13, MATCH('Country Handout (FR)'!$P31, 'Method Mix'!$C$4:$O$4,0), FALSE)/100=0, NA(), VLOOKUP($Q$1, 'Method Mix'!$C$5:$O$13, MATCH('Country Handout (FR)'!$P31, 'Method Mix'!$C$4:$O$4,0), FALSE)/100)</f>
        <v>0.11052631578947369</v>
      </c>
      <c r="U31" s="312">
        <f t="shared" si="1"/>
        <v>0.11052631578947369</v>
      </c>
      <c r="V31"/>
      <c r="W31" s="262"/>
      <c r="X31" s="263"/>
      <c r="Y31" s="263"/>
      <c r="Z31" s="263"/>
      <c r="AA31" s="263"/>
      <c r="AB31" s="263"/>
      <c r="AC31" s="263"/>
      <c r="AD31" s="263"/>
      <c r="AE31" s="263"/>
      <c r="AF31" s="263"/>
    </row>
    <row r="32" spans="1:32" ht="36.75" customHeight="1" x14ac:dyDescent="0.55000000000000004">
      <c r="A32" s="181"/>
      <c r="B32" s="259"/>
      <c r="C32" s="260"/>
      <c r="D32" s="260"/>
      <c r="E32" s="260"/>
      <c r="F32" s="260"/>
      <c r="G32" s="260"/>
      <c r="H32" s="261"/>
      <c r="I32" s="261"/>
      <c r="J32" s="261"/>
      <c r="K32" s="261"/>
      <c r="L32" s="1"/>
      <c r="P32" s="189" t="s">
        <v>219</v>
      </c>
      <c r="S32" s="189" t="s">
        <v>88</v>
      </c>
      <c r="T32" s="190">
        <f>IF(VLOOKUP($Q$1, 'Method Mix'!$C$5:$O$13, MATCH('Country Handout (FR)'!$P32, 'Method Mix'!$C$4:$O$4,0), FALSE)/100=0, NA(), VLOOKUP($Q$1, 'Method Mix'!$C$5:$O$13, MATCH('Country Handout (FR)'!$P32, 'Method Mix'!$C$4:$O$4,0), FALSE)/100)</f>
        <v>0.25789473684210529</v>
      </c>
      <c r="U32" s="312">
        <f>IF(T32&gt;2%, T32, "")</f>
        <v>0.25789473684210529</v>
      </c>
      <c r="V32"/>
      <c r="W32" s="262"/>
      <c r="X32" s="263"/>
      <c r="Y32" s="263"/>
      <c r="Z32" s="263"/>
      <c r="AA32" s="263"/>
      <c r="AB32" s="263"/>
      <c r="AC32" s="263"/>
      <c r="AD32" s="263"/>
      <c r="AE32" s="263"/>
      <c r="AF32" s="263"/>
    </row>
    <row r="33" spans="1:32" ht="36.75" customHeight="1" x14ac:dyDescent="0.55000000000000004">
      <c r="A33" s="181"/>
      <c r="B33" s="259"/>
      <c r="C33" s="260"/>
      <c r="D33" s="260"/>
      <c r="E33" s="260"/>
      <c r="F33" s="260"/>
      <c r="G33" s="260"/>
      <c r="H33" s="261"/>
      <c r="I33" s="261"/>
      <c r="J33" s="261"/>
      <c r="K33" s="261"/>
      <c r="L33" s="1"/>
      <c r="P33" s="189" t="s">
        <v>220</v>
      </c>
      <c r="S33" s="189" t="s">
        <v>92</v>
      </c>
      <c r="T33" s="190">
        <f>IF(VLOOKUP($Q$1, 'Method Mix'!$C$5:$O$13, MATCH('Country Handout (FR)'!$P33, 'Method Mix'!$C$4:$O$4,0), FALSE)/100=0, NA(), VLOOKUP($Q$1, 'Method Mix'!$C$5:$O$13, MATCH('Country Handout (FR)'!$P33, 'Method Mix'!$C$4:$O$4,0), FALSE)/100)</f>
        <v>2.1052631578947368E-2</v>
      </c>
      <c r="U33" s="312">
        <f t="shared" ref="U33:U34" si="2">IF(T33&gt;2%, T33, "")</f>
        <v>2.1052631578947368E-2</v>
      </c>
      <c r="V33"/>
      <c r="W33" s="262"/>
      <c r="X33" s="263"/>
      <c r="Y33" s="263"/>
      <c r="Z33" s="263"/>
      <c r="AA33" s="263"/>
      <c r="AB33" s="263"/>
      <c r="AC33" s="263"/>
      <c r="AD33" s="263"/>
      <c r="AE33" s="263"/>
      <c r="AF33" s="263"/>
    </row>
    <row r="34" spans="1:32" ht="36.75" customHeight="1" x14ac:dyDescent="0.35">
      <c r="L34" s="1"/>
      <c r="P34" s="189" t="s">
        <v>221</v>
      </c>
      <c r="S34" s="189" t="s">
        <v>93</v>
      </c>
      <c r="T34" s="190">
        <f>IF(VLOOKUP($Q$1, 'Method Mix'!$C$5:$O$13, MATCH('Country Handout (FR)'!$P34, 'Method Mix'!$C$4:$O$4,0), FALSE)/100=0, NA(), VLOOKUP($Q$1, 'Method Mix'!$C$5:$O$13, MATCH('Country Handout (FR)'!$P34, 'Method Mix'!$C$4:$O$4,0), FALSE)/100)</f>
        <v>1.0526315789473684E-2</v>
      </c>
      <c r="U34" s="312" t="str">
        <f t="shared" si="2"/>
        <v/>
      </c>
      <c r="V34"/>
      <c r="W34"/>
      <c r="X34"/>
      <c r="Y34"/>
      <c r="Z34"/>
    </row>
    <row r="35" spans="1:32" ht="13.5" customHeight="1" x14ac:dyDescent="0.35">
      <c r="L35" s="1"/>
      <c r="P35" s="189"/>
      <c r="S35" s="194"/>
      <c r="T35" s="190"/>
      <c r="U35" s="190"/>
      <c r="V35"/>
      <c r="W35"/>
      <c r="X35"/>
      <c r="Y35"/>
      <c r="Z35"/>
    </row>
    <row r="36" spans="1:32" ht="19.5" customHeight="1" x14ac:dyDescent="0.35">
      <c r="B36" s="581" t="s">
        <v>268</v>
      </c>
      <c r="C36" s="581"/>
      <c r="D36" s="191"/>
      <c r="E36" s="192"/>
      <c r="F36" s="582" t="s">
        <v>94</v>
      </c>
      <c r="G36" s="582"/>
      <c r="H36" s="583">
        <f>T18</f>
        <v>152000</v>
      </c>
      <c r="I36" s="583"/>
      <c r="J36" s="584" t="s">
        <v>207</v>
      </c>
      <c r="K36" s="584"/>
      <c r="L36" s="1"/>
      <c r="V36"/>
      <c r="W36"/>
      <c r="X36"/>
      <c r="Y36"/>
      <c r="Z36"/>
    </row>
    <row r="37" spans="1:32" ht="19.5" customHeight="1" x14ac:dyDescent="0.35">
      <c r="B37" s="570">
        <f>K7</f>
        <v>416000</v>
      </c>
      <c r="C37" s="570"/>
      <c r="D37" s="570"/>
      <c r="E37" s="570"/>
      <c r="F37" s="582"/>
      <c r="G37" s="582"/>
      <c r="H37" s="583"/>
      <c r="I37" s="583"/>
      <c r="J37" s="584"/>
      <c r="K37" s="584"/>
      <c r="L37" s="1"/>
      <c r="V37"/>
      <c r="W37"/>
      <c r="X37"/>
      <c r="Y37"/>
      <c r="Z37"/>
    </row>
    <row r="38" spans="1:32" ht="19.5" customHeight="1" x14ac:dyDescent="0.35">
      <c r="B38" s="570"/>
      <c r="C38" s="570"/>
      <c r="D38" s="570"/>
      <c r="E38" s="570"/>
      <c r="F38" s="582"/>
      <c r="G38" s="582"/>
      <c r="H38" s="583"/>
      <c r="I38" s="583"/>
      <c r="J38" s="584"/>
      <c r="K38" s="584"/>
      <c r="L38" s="1"/>
      <c r="V38"/>
      <c r="W38"/>
      <c r="X38"/>
      <c r="Y38"/>
      <c r="Z38"/>
    </row>
    <row r="39" spans="1:32" ht="19.5" customHeight="1" x14ac:dyDescent="0.35">
      <c r="B39" s="570"/>
      <c r="C39" s="570"/>
      <c r="D39" s="570"/>
      <c r="E39" s="570"/>
      <c r="F39" s="582"/>
      <c r="G39" s="582"/>
      <c r="H39" s="583"/>
      <c r="I39" s="583"/>
      <c r="J39" s="584"/>
      <c r="K39" s="584"/>
      <c r="L39" s="1"/>
      <c r="V39"/>
      <c r="W39"/>
      <c r="X39"/>
      <c r="Y39"/>
      <c r="Z39"/>
    </row>
    <row r="40" spans="1:32" ht="19.5" customHeight="1" x14ac:dyDescent="0.35">
      <c r="B40" s="571" t="s">
        <v>91</v>
      </c>
      <c r="C40" s="571"/>
      <c r="D40" s="571"/>
      <c r="E40" s="571"/>
      <c r="F40" s="582"/>
      <c r="G40" s="582"/>
      <c r="H40" s="566">
        <f>T19</f>
        <v>54000</v>
      </c>
      <c r="I40" s="566"/>
      <c r="J40" s="567">
        <f>T20</f>
        <v>400</v>
      </c>
      <c r="K40" s="567"/>
      <c r="L40" s="1"/>
      <c r="V40"/>
      <c r="W40"/>
      <c r="X40"/>
      <c r="Y40"/>
      <c r="Z40"/>
    </row>
    <row r="41" spans="1:32" ht="19.5" customHeight="1" x14ac:dyDescent="0.35">
      <c r="B41" s="571"/>
      <c r="C41" s="571"/>
      <c r="D41" s="571"/>
      <c r="E41" s="571"/>
      <c r="F41" s="582"/>
      <c r="G41" s="582"/>
      <c r="H41" s="566"/>
      <c r="I41" s="566"/>
      <c r="J41" s="567"/>
      <c r="K41" s="567"/>
      <c r="L41" s="1"/>
      <c r="V41"/>
      <c r="W41"/>
      <c r="X41"/>
      <c r="Y41"/>
      <c r="Z41"/>
    </row>
    <row r="42" spans="1:32" ht="19.5" customHeight="1" x14ac:dyDescent="0.35">
      <c r="B42" s="571"/>
      <c r="C42" s="571"/>
      <c r="D42" s="571"/>
      <c r="E42" s="571"/>
      <c r="F42" s="582"/>
      <c r="G42" s="582"/>
      <c r="H42" s="568" t="s">
        <v>206</v>
      </c>
      <c r="I42" s="568"/>
      <c r="J42" s="569" t="s">
        <v>208</v>
      </c>
      <c r="K42" s="569"/>
      <c r="L42" s="1"/>
      <c r="O42" s="193"/>
      <c r="V42"/>
      <c r="W42"/>
      <c r="X42"/>
      <c r="Y42"/>
      <c r="Z42"/>
    </row>
    <row r="43" spans="1:32" ht="19.5" customHeight="1" x14ac:dyDescent="0.35">
      <c r="B43" s="571"/>
      <c r="C43" s="571"/>
      <c r="D43" s="571"/>
      <c r="E43" s="571"/>
      <c r="F43" s="582"/>
      <c r="G43" s="582"/>
      <c r="H43" s="568"/>
      <c r="I43" s="568"/>
      <c r="J43" s="569"/>
      <c r="K43" s="569"/>
      <c r="L43" s="1"/>
      <c r="V43"/>
      <c r="W43"/>
      <c r="X43"/>
      <c r="Y43"/>
      <c r="Z43"/>
    </row>
    <row r="44" spans="1:32" ht="20.25" customHeight="1" x14ac:dyDescent="0.35">
      <c r="A44" s="195"/>
      <c r="B44" s="578" t="str">
        <f>IF(VLOOKUP($Q$1,'Source Data'!$A$5:$E$13, 5, FALSE)="Y", "Note: Statistiques de service utilisées pour informer ces estimations", "")</f>
        <v>Note: Statistiques de service utilisées pour informer ces estimations</v>
      </c>
      <c r="C44" s="578"/>
      <c r="D44" s="196" t="s">
        <v>95</v>
      </c>
      <c r="E44" s="196"/>
      <c r="F44" s="196"/>
      <c r="G44" s="576"/>
      <c r="H44" s="578"/>
      <c r="S44"/>
    </row>
    <row r="45" spans="1:32" ht="20.25" customHeight="1" x14ac:dyDescent="0.35">
      <c r="A45" s="195"/>
      <c r="B45" s="578"/>
      <c r="C45" s="578"/>
      <c r="D45" s="196"/>
      <c r="F45" s="196"/>
      <c r="G45" s="577"/>
      <c r="H45" s="579"/>
      <c r="S45"/>
    </row>
    <row r="46" spans="1:32" ht="20.25" customHeight="1" x14ac:dyDescent="0.35">
      <c r="A46" s="195"/>
      <c r="B46" s="578"/>
      <c r="C46" s="578"/>
      <c r="D46" s="196"/>
      <c r="E46" s="196"/>
      <c r="F46" s="196"/>
      <c r="G46" s="577"/>
      <c r="H46" s="579"/>
      <c r="S46"/>
    </row>
    <row r="47" spans="1:32" ht="26.25" customHeight="1" x14ac:dyDescent="0.35">
      <c r="A47" s="181"/>
      <c r="B47" s="580"/>
      <c r="C47" s="580"/>
      <c r="D47" s="580"/>
      <c r="E47" s="580"/>
      <c r="F47" s="580"/>
      <c r="G47" s="580"/>
      <c r="H47" s="580"/>
      <c r="I47" s="580"/>
      <c r="J47" s="580"/>
      <c r="K47" s="580"/>
    </row>
    <row r="48" spans="1:32" ht="15.75" customHeight="1" x14ac:dyDescent="0.35">
      <c r="A48" s="181"/>
    </row>
    <row r="49" spans="1:32" ht="30" customHeight="1" x14ac:dyDescent="0.35">
      <c r="A49" s="195"/>
    </row>
    <row r="50" spans="1:32" ht="23.25" customHeight="1" x14ac:dyDescent="0.35">
      <c r="A50" s="195"/>
    </row>
    <row r="51" spans="1:32" s="174" customFormat="1" ht="30" customHeight="1" x14ac:dyDescent="0.3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AA51"/>
      <c r="AB51"/>
      <c r="AC51"/>
      <c r="AD51"/>
      <c r="AE51"/>
      <c r="AF51"/>
    </row>
    <row r="52" spans="1:32" s="174" customFormat="1" ht="24.75" customHeight="1" x14ac:dyDescent="0.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AA52"/>
      <c r="AB52"/>
      <c r="AC52"/>
      <c r="AD52"/>
      <c r="AE52"/>
      <c r="AF52"/>
    </row>
    <row r="53" spans="1:32" s="174" customFormat="1" ht="24.75" customHeight="1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AA53"/>
      <c r="AB53"/>
      <c r="AC53"/>
      <c r="AD53"/>
      <c r="AE53"/>
      <c r="AF53"/>
    </row>
    <row r="54" spans="1:32" s="174" customFormat="1" ht="24.75" customHeight="1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AA54"/>
      <c r="AB54"/>
      <c r="AC54"/>
      <c r="AD54"/>
      <c r="AE54"/>
      <c r="AF54"/>
    </row>
    <row r="55" spans="1:32" s="174" customFormat="1" ht="24.75" customHeight="1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AA55"/>
      <c r="AB55"/>
      <c r="AC55"/>
      <c r="AD55"/>
      <c r="AE55"/>
      <c r="AF55"/>
    </row>
    <row r="56" spans="1:32" s="174" customFormat="1" ht="24.75" customHeight="1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AA56"/>
      <c r="AB56"/>
      <c r="AC56"/>
      <c r="AD56"/>
      <c r="AE56"/>
      <c r="AF56"/>
    </row>
    <row r="57" spans="1:32" s="174" customFormat="1" ht="24.75" customHeight="1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AA57"/>
      <c r="AB57"/>
      <c r="AC57"/>
      <c r="AD57"/>
      <c r="AE57"/>
      <c r="AF57"/>
    </row>
    <row r="58" spans="1:32" s="174" customFormat="1" ht="24.75" customHeight="1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AA58"/>
      <c r="AB58"/>
      <c r="AC58"/>
      <c r="AD58"/>
      <c r="AE58"/>
      <c r="AF58"/>
    </row>
    <row r="59" spans="1:32" s="174" customFormat="1" ht="24.75" customHeight="1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AA59"/>
      <c r="AB59"/>
      <c r="AC59"/>
      <c r="AD59"/>
      <c r="AE59"/>
      <c r="AF59"/>
    </row>
    <row r="60" spans="1:32" s="174" customFormat="1" ht="24.75" customHeight="1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AA60"/>
      <c r="AB60"/>
      <c r="AC60"/>
      <c r="AD60"/>
      <c r="AE60"/>
      <c r="AF60"/>
    </row>
    <row r="61" spans="1:32" s="174" customFormat="1" ht="24.75" customHeight="1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AA61"/>
      <c r="AB61"/>
      <c r="AC61"/>
      <c r="AD61"/>
      <c r="AE61"/>
      <c r="AF61"/>
    </row>
    <row r="62" spans="1:32" s="174" customFormat="1" ht="24.75" customHeight="1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AA62"/>
      <c r="AB62"/>
      <c r="AC62"/>
      <c r="AD62"/>
      <c r="AE62"/>
      <c r="AF62"/>
    </row>
    <row r="63" spans="1:32" s="174" customFormat="1" ht="24.75" customHeight="1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AA63"/>
      <c r="AB63"/>
      <c r="AC63"/>
      <c r="AD63"/>
      <c r="AE63"/>
      <c r="AF63"/>
    </row>
    <row r="64" spans="1:32" s="174" customFormat="1" ht="24.75" customHeight="1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AA64"/>
      <c r="AB64"/>
      <c r="AC64"/>
      <c r="AD64"/>
      <c r="AE64"/>
      <c r="AF64"/>
    </row>
    <row r="65" spans="1:32" s="174" customFormat="1" ht="24.75" customHeight="1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AA65"/>
      <c r="AB65"/>
      <c r="AC65"/>
      <c r="AD65"/>
      <c r="AE65"/>
      <c r="AF65"/>
    </row>
    <row r="66" spans="1:32" s="174" customFormat="1" ht="24.75" customHeight="1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AA66"/>
      <c r="AB66"/>
      <c r="AC66"/>
      <c r="AD66"/>
      <c r="AE66"/>
      <c r="AF66"/>
    </row>
    <row r="67" spans="1:32" ht="24.75" customHeight="1" x14ac:dyDescent="0.35">
      <c r="S67"/>
      <c r="T67"/>
    </row>
    <row r="68" spans="1:32" x14ac:dyDescent="0.35">
      <c r="S68"/>
      <c r="T68"/>
    </row>
    <row r="69" spans="1:32" x14ac:dyDescent="0.35">
      <c r="S69"/>
      <c r="T69"/>
    </row>
    <row r="70" spans="1:32" x14ac:dyDescent="0.35">
      <c r="S70"/>
      <c r="T70"/>
    </row>
    <row r="71" spans="1:32" x14ac:dyDescent="0.35">
      <c r="S71"/>
      <c r="T71"/>
    </row>
    <row r="72" spans="1:32" x14ac:dyDescent="0.35">
      <c r="S72"/>
      <c r="T72"/>
    </row>
    <row r="73" spans="1:32" x14ac:dyDescent="0.35">
      <c r="S73"/>
      <c r="T73"/>
    </row>
    <row r="74" spans="1:32" x14ac:dyDescent="0.35">
      <c r="S74"/>
      <c r="T74"/>
    </row>
    <row r="75" spans="1:32" x14ac:dyDescent="0.35">
      <c r="S75"/>
      <c r="T75"/>
    </row>
    <row r="76" spans="1:32" x14ac:dyDescent="0.35">
      <c r="S76"/>
      <c r="T76"/>
    </row>
    <row r="77" spans="1:32" x14ac:dyDescent="0.35">
      <c r="S77"/>
      <c r="T77"/>
    </row>
    <row r="78" spans="1:32" x14ac:dyDescent="0.35">
      <c r="S78"/>
      <c r="T78"/>
    </row>
    <row r="79" spans="1:32" x14ac:dyDescent="0.35">
      <c r="S79"/>
      <c r="T79"/>
    </row>
    <row r="80" spans="1:32" x14ac:dyDescent="0.35">
      <c r="S80"/>
      <c r="T80"/>
    </row>
    <row r="81" spans="19:20" x14ac:dyDescent="0.35">
      <c r="S81"/>
      <c r="T81"/>
    </row>
    <row r="82" spans="19:20" x14ac:dyDescent="0.35">
      <c r="S82"/>
      <c r="T82"/>
    </row>
    <row r="83" spans="19:20" x14ac:dyDescent="0.35">
      <c r="S83"/>
      <c r="T83"/>
    </row>
    <row r="84" spans="19:20" x14ac:dyDescent="0.35">
      <c r="S84"/>
      <c r="T84"/>
    </row>
    <row r="85" spans="19:20" x14ac:dyDescent="0.35">
      <c r="S85"/>
      <c r="T85"/>
    </row>
    <row r="86" spans="19:20" x14ac:dyDescent="0.35">
      <c r="S86"/>
      <c r="T86"/>
    </row>
    <row r="87" spans="19:20" x14ac:dyDescent="0.35">
      <c r="S87"/>
      <c r="T87"/>
    </row>
    <row r="88" spans="19:20" x14ac:dyDescent="0.35">
      <c r="S88"/>
      <c r="T88"/>
    </row>
    <row r="89" spans="19:20" x14ac:dyDescent="0.35">
      <c r="S89"/>
      <c r="T89"/>
    </row>
    <row r="90" spans="19:20" x14ac:dyDescent="0.35">
      <c r="S90"/>
      <c r="T90"/>
    </row>
    <row r="91" spans="19:20" x14ac:dyDescent="0.35">
      <c r="S91"/>
      <c r="T91"/>
    </row>
    <row r="92" spans="19:20" x14ac:dyDescent="0.35">
      <c r="S92"/>
      <c r="T92"/>
    </row>
    <row r="93" spans="19:20" x14ac:dyDescent="0.35">
      <c r="S93"/>
      <c r="T93"/>
    </row>
    <row r="94" spans="19:20" x14ac:dyDescent="0.35">
      <c r="S94"/>
      <c r="T94"/>
    </row>
    <row r="95" spans="19:20" x14ac:dyDescent="0.35">
      <c r="S95"/>
      <c r="T95"/>
    </row>
    <row r="96" spans="19:20" x14ac:dyDescent="0.35">
      <c r="S96"/>
      <c r="T96"/>
    </row>
    <row r="97" spans="19:20" x14ac:dyDescent="0.35">
      <c r="S97"/>
      <c r="T97"/>
    </row>
    <row r="98" spans="19:20" x14ac:dyDescent="0.35">
      <c r="S98"/>
      <c r="T98"/>
    </row>
    <row r="99" spans="19:20" x14ac:dyDescent="0.35">
      <c r="S99"/>
      <c r="T99"/>
    </row>
    <row r="100" spans="19:20" x14ac:dyDescent="0.35">
      <c r="S100"/>
      <c r="T100"/>
    </row>
    <row r="101" spans="19:20" x14ac:dyDescent="0.35">
      <c r="S101"/>
      <c r="T101"/>
    </row>
    <row r="102" spans="19:20" x14ac:dyDescent="0.35">
      <c r="S102"/>
      <c r="T102"/>
    </row>
    <row r="103" spans="19:20" x14ac:dyDescent="0.35">
      <c r="S103"/>
      <c r="T103"/>
    </row>
    <row r="104" spans="19:20" x14ac:dyDescent="0.35">
      <c r="S104"/>
      <c r="T104"/>
    </row>
    <row r="105" spans="19:20" x14ac:dyDescent="0.35">
      <c r="S105"/>
      <c r="T105"/>
    </row>
    <row r="106" spans="19:20" x14ac:dyDescent="0.35">
      <c r="S106"/>
      <c r="T106"/>
    </row>
    <row r="107" spans="19:20" x14ac:dyDescent="0.35">
      <c r="S107"/>
      <c r="T107"/>
    </row>
    <row r="108" spans="19:20" x14ac:dyDescent="0.35">
      <c r="S108"/>
      <c r="T108"/>
    </row>
    <row r="109" spans="19:20" x14ac:dyDescent="0.35">
      <c r="S109"/>
      <c r="T109"/>
    </row>
    <row r="110" spans="19:20" x14ac:dyDescent="0.35">
      <c r="S110"/>
      <c r="T110"/>
    </row>
    <row r="111" spans="19:20" x14ac:dyDescent="0.35">
      <c r="S111"/>
      <c r="T111"/>
    </row>
    <row r="112" spans="19:20" x14ac:dyDescent="0.35">
      <c r="S112"/>
      <c r="T112"/>
    </row>
    <row r="113" spans="19:20" x14ac:dyDescent="0.35">
      <c r="S113"/>
      <c r="T113"/>
    </row>
    <row r="114" spans="19:20" x14ac:dyDescent="0.35">
      <c r="S114"/>
      <c r="T114"/>
    </row>
    <row r="115" spans="19:20" x14ac:dyDescent="0.35">
      <c r="S115"/>
      <c r="T115"/>
    </row>
    <row r="116" spans="19:20" x14ac:dyDescent="0.35">
      <c r="S116"/>
      <c r="T116"/>
    </row>
    <row r="117" spans="19:20" x14ac:dyDescent="0.35">
      <c r="S117"/>
      <c r="T117"/>
    </row>
    <row r="118" spans="19:20" x14ac:dyDescent="0.35">
      <c r="S118"/>
      <c r="T118"/>
    </row>
    <row r="119" spans="19:20" x14ac:dyDescent="0.35">
      <c r="S119"/>
      <c r="T119"/>
    </row>
    <row r="120" spans="19:20" x14ac:dyDescent="0.35">
      <c r="S120"/>
      <c r="T120"/>
    </row>
    <row r="121" spans="19:20" x14ac:dyDescent="0.35">
      <c r="S121"/>
      <c r="T121"/>
    </row>
    <row r="122" spans="19:20" x14ac:dyDescent="0.35">
      <c r="S122"/>
      <c r="T122"/>
    </row>
  </sheetData>
  <mergeCells count="23">
    <mergeCell ref="G44:G46"/>
    <mergeCell ref="H44:H46"/>
    <mergeCell ref="B47:K47"/>
    <mergeCell ref="B36:C36"/>
    <mergeCell ref="F36:G43"/>
    <mergeCell ref="H36:I39"/>
    <mergeCell ref="J36:K39"/>
    <mergeCell ref="B44:C46"/>
    <mergeCell ref="Q1:S1"/>
    <mergeCell ref="B21:K21"/>
    <mergeCell ref="H40:I41"/>
    <mergeCell ref="J40:K41"/>
    <mergeCell ref="H42:I43"/>
    <mergeCell ref="J42:K43"/>
    <mergeCell ref="B37:E39"/>
    <mergeCell ref="B40:E43"/>
    <mergeCell ref="B6:K6"/>
    <mergeCell ref="B8:K8"/>
    <mergeCell ref="B19:K19"/>
    <mergeCell ref="B10:K10"/>
    <mergeCell ref="B23:K23"/>
    <mergeCell ref="B25:K25"/>
    <mergeCell ref="B28:K28"/>
  </mergeCells>
  <printOptions horizontalCentered="1" verticalCentered="1"/>
  <pageMargins left="0.25" right="0.25" top="0.25" bottom="0.25" header="0" footer="0"/>
  <pageSetup scale="5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A6CDDF32-188A-47F5-87C4-E2CBC7E2A0B4}">
            <x14:iconSet showValue="0" custom="1">
              <x14:cfvo type="percent">
                <xm:f>0</xm:f>
              </x14:cfvo>
              <x14:cfvo type="num" gte="0">
                <xm:f>4</xm:f>
              </x14:cfvo>
              <x14:cfvo type="num">
                <xm:f>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G4</xm:sqref>
        </x14:conditionalFormatting>
        <x14:conditionalFormatting xmlns:xm="http://schemas.microsoft.com/office/excel/2006/main">
          <x14:cfRule type="iconSet" priority="9" id="{1BD68D3F-6F1D-45E4-AD97-82FE409263C5}">
            <x14:iconSet showValue="0" custom="1">
              <x14:cfvo type="percent">
                <xm:f>0</xm:f>
              </x14:cfvo>
              <x14:cfvo type="num" gte="0">
                <xm:f>4.5</xm:f>
              </x14:cfvo>
              <x14:cfvo type="num">
                <xm:f>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A47:A48</xm:sqref>
        </x14:conditionalFormatting>
        <x14:conditionalFormatting xmlns:xm="http://schemas.microsoft.com/office/excel/2006/main">
          <x14:cfRule type="iconSet" priority="8" id="{B564CF9F-7A2F-410B-8C10-00429A1A4587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E36</xm:sqref>
        </x14:conditionalFormatting>
        <x14:conditionalFormatting xmlns:xm="http://schemas.microsoft.com/office/excel/2006/main">
          <x14:cfRule type="iconSet" priority="6" id="{EEDD277D-5DE4-4A50-B977-C38A5A022F7C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A9:A14</xm:sqref>
        </x14:conditionalFormatting>
        <x14:conditionalFormatting xmlns:xm="http://schemas.microsoft.com/office/excel/2006/main">
          <x14:cfRule type="iconSet" priority="5" id="{B8116190-CF62-492F-B0AC-D6FB1798E1B6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A7:A8</xm:sqref>
        </x14:conditionalFormatting>
        <x14:conditionalFormatting xmlns:xm="http://schemas.microsoft.com/office/excel/2006/main">
          <x14:cfRule type="iconSet" priority="4" id="{899A4BEC-1705-4298-B689-4E341803FF4B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A24:A33</xm:sqref>
        </x14:conditionalFormatting>
        <x14:conditionalFormatting xmlns:xm="http://schemas.microsoft.com/office/excel/2006/main">
          <x14:cfRule type="iconSet" priority="3" id="{1D455333-0147-41C0-B163-2F28BF0A76CA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A20 A23</xm:sqref>
        </x14:conditionalFormatting>
        <x14:conditionalFormatting xmlns:xm="http://schemas.microsoft.com/office/excel/2006/main">
          <x14:cfRule type="iconSet" priority="38" id="{24B00030-4ED1-43AD-929F-4E1F5809A29D}">
            <x14:iconSet showValue="0" custom="1">
              <x14:cfvo type="percent">
                <xm:f>0</xm:f>
              </x14:cfvo>
              <x14:cfvo type="num" gte="0">
                <xm:f>4.5</xm:f>
              </x14:cfvo>
              <x14:cfvo type="num">
                <xm:f>7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R17</xm:sqref>
        </x14:conditionalFormatting>
        <x14:conditionalFormatting xmlns:xm="http://schemas.microsoft.com/office/excel/2006/main">
          <x14:cfRule type="iconSet" priority="2" id="{D97A9261-7F2A-4B53-8D85-B3D73259E192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A22</xm:sqref>
        </x14:conditionalFormatting>
        <x14:conditionalFormatting xmlns:xm="http://schemas.microsoft.com/office/excel/2006/main">
          <x14:cfRule type="iconSet" priority="1" id="{FB7DE616-913B-4D3D-A1E2-61A779F59D1B}">
            <x14:iconSet showValue="0" custom="1">
              <x14:cfvo type="percent">
                <xm:f>0</xm:f>
              </x14:cfvo>
              <x14:cfvo type="num">
                <xm:f>3.4</xm:f>
              </x14:cfvo>
              <x14:cfvo type="num">
                <xm:f>7.6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A21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12FA5F-521A-49A8-A980-224CFD23ABE1}">
          <x14:formula1>
            <xm:f>'Source Data'!$A$5:$A$13</xm:f>
          </x14:formula1>
          <xm:sqref>Q1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5F6E-6509-4D10-8453-8F51FBA1ACFE}">
  <dimension ref="A1:P34"/>
  <sheetViews>
    <sheetView showGridLines="0" topLeftCell="C19" workbookViewId="0">
      <selection activeCell="C32" sqref="C32"/>
    </sheetView>
  </sheetViews>
  <sheetFormatPr defaultRowHeight="14.5" x14ac:dyDescent="0.35"/>
  <cols>
    <col min="1" max="1" width="3.36328125" customWidth="1"/>
    <col min="2" max="2" width="3.453125" style="301" customWidth="1"/>
    <col min="3" max="3" width="21.453125" customWidth="1"/>
    <col min="4" max="4" width="19.54296875" style="102" customWidth="1"/>
    <col min="5" max="5" width="19.54296875" customWidth="1"/>
    <col min="6" max="6" width="11.08984375" customWidth="1"/>
    <col min="7" max="15" width="12.453125" customWidth="1"/>
    <col min="16" max="16" width="6.90625" customWidth="1"/>
    <col min="19" max="19" width="16.6328125" customWidth="1"/>
    <col min="21" max="21" width="20.453125" bestFit="1" customWidth="1"/>
  </cols>
  <sheetData>
    <row r="1" spans="1:16" ht="30.75" customHeight="1" x14ac:dyDescent="0.35">
      <c r="B1" s="300"/>
      <c r="J1" s="21" t="s">
        <v>209</v>
      </c>
    </row>
    <row r="2" spans="1:16" ht="15" thickBot="1" x14ac:dyDescent="0.4">
      <c r="C2" s="179" t="s">
        <v>210</v>
      </c>
      <c r="D2" s="302">
        <v>44132</v>
      </c>
      <c r="E2" s="302"/>
      <c r="G2" t="s">
        <v>211</v>
      </c>
    </row>
    <row r="3" spans="1:16" ht="15" thickBot="1" x14ac:dyDescent="0.4">
      <c r="B3" s="303"/>
      <c r="C3" s="304"/>
      <c r="D3" s="305"/>
      <c r="E3" s="304"/>
      <c r="F3" s="304"/>
      <c r="G3" s="585" t="s">
        <v>212</v>
      </c>
      <c r="H3" s="586"/>
      <c r="I3" s="586"/>
      <c r="J3" s="587"/>
      <c r="K3" s="585" t="s">
        <v>213</v>
      </c>
      <c r="L3" s="586"/>
      <c r="M3" s="586"/>
      <c r="N3" s="586"/>
      <c r="O3" s="587"/>
    </row>
    <row r="4" spans="1:16" ht="43.5" x14ac:dyDescent="0.35">
      <c r="B4" s="306"/>
      <c r="C4" s="307"/>
      <c r="D4" s="308" t="s">
        <v>3</v>
      </c>
      <c r="E4" s="307" t="s">
        <v>4</v>
      </c>
      <c r="F4" s="307" t="s">
        <v>82</v>
      </c>
      <c r="G4" s="457" t="s">
        <v>214</v>
      </c>
      <c r="H4" s="458" t="s">
        <v>215</v>
      </c>
      <c r="I4" s="458" t="s">
        <v>216</v>
      </c>
      <c r="J4" s="459" t="s">
        <v>84</v>
      </c>
      <c r="K4" s="457" t="s">
        <v>217</v>
      </c>
      <c r="L4" s="458" t="s">
        <v>218</v>
      </c>
      <c r="M4" s="458" t="s">
        <v>219</v>
      </c>
      <c r="N4" s="458" t="s">
        <v>220</v>
      </c>
      <c r="O4" s="459" t="s">
        <v>221</v>
      </c>
    </row>
    <row r="5" spans="1:16" x14ac:dyDescent="0.35">
      <c r="A5" s="48"/>
      <c r="B5" s="452"/>
      <c r="C5" s="453" t="s">
        <v>7</v>
      </c>
      <c r="D5" s="454" t="s">
        <v>234</v>
      </c>
      <c r="E5" s="455">
        <v>2017.5</v>
      </c>
      <c r="F5" s="456" t="s">
        <v>222</v>
      </c>
      <c r="G5" s="309">
        <v>0.86206896551724133</v>
      </c>
      <c r="H5" s="310">
        <v>0</v>
      </c>
      <c r="I5" s="310">
        <v>11.206896551724139</v>
      </c>
      <c r="J5" s="311">
        <v>38.793103448275865</v>
      </c>
      <c r="K5" s="309">
        <v>16.379310344827587</v>
      </c>
      <c r="L5" s="310">
        <v>10.344827586206897</v>
      </c>
      <c r="M5" s="310">
        <v>18.103448275862068</v>
      </c>
      <c r="N5" s="310">
        <v>0.86206896551724133</v>
      </c>
      <c r="O5" s="311">
        <v>3.4482758620689653</v>
      </c>
    </row>
    <row r="6" spans="1:16" x14ac:dyDescent="0.35">
      <c r="A6" s="48"/>
      <c r="B6" s="452"/>
      <c r="C6" s="453" t="s">
        <v>9</v>
      </c>
      <c r="D6" s="454" t="s">
        <v>265</v>
      </c>
      <c r="E6" s="455">
        <v>2020</v>
      </c>
      <c r="F6" s="456" t="s">
        <v>222</v>
      </c>
      <c r="G6" s="309">
        <v>0.432050274941084</v>
      </c>
      <c r="H6" s="310">
        <v>0</v>
      </c>
      <c r="I6" s="310">
        <v>4.5954438334642562</v>
      </c>
      <c r="J6" s="311">
        <v>46.425765907305575</v>
      </c>
      <c r="K6" s="309">
        <v>26.040848389630789</v>
      </c>
      <c r="L6" s="310">
        <v>9.3872741555380976</v>
      </c>
      <c r="M6" s="310">
        <v>12.372348782403767</v>
      </c>
      <c r="N6" s="310">
        <v>3.9277297721916724E-2</v>
      </c>
      <c r="O6" s="311">
        <v>0.70699135899450105</v>
      </c>
    </row>
    <row r="7" spans="1:16" x14ac:dyDescent="0.35">
      <c r="A7" s="48"/>
      <c r="B7" s="452"/>
      <c r="C7" s="453" t="s">
        <v>10</v>
      </c>
      <c r="D7" s="454" t="s">
        <v>231</v>
      </c>
      <c r="E7" s="455">
        <v>2016</v>
      </c>
      <c r="F7" s="456" t="s">
        <v>222</v>
      </c>
      <c r="G7" s="309">
        <v>1.1612021857923498</v>
      </c>
      <c r="H7" s="310">
        <v>1.9125683060109291</v>
      </c>
      <c r="I7" s="310">
        <v>0.47814207650273227</v>
      </c>
      <c r="J7" s="311">
        <v>6.2158469945355188</v>
      </c>
      <c r="K7" s="309">
        <v>28.210382513661202</v>
      </c>
      <c r="L7" s="310">
        <v>39.275956284153004</v>
      </c>
      <c r="M7" s="310">
        <v>19.740437158469945</v>
      </c>
      <c r="N7" s="310">
        <v>2.7322404371584699</v>
      </c>
      <c r="O7" s="311">
        <v>0.27322404371584702</v>
      </c>
    </row>
    <row r="8" spans="1:16" x14ac:dyDescent="0.35">
      <c r="A8" s="48"/>
      <c r="B8" s="452"/>
      <c r="C8" s="453" t="s">
        <v>11</v>
      </c>
      <c r="D8" s="454" t="s">
        <v>233</v>
      </c>
      <c r="E8" s="455">
        <v>2018</v>
      </c>
      <c r="F8" s="456" t="s">
        <v>222</v>
      </c>
      <c r="G8" s="309">
        <v>0.8771929824561403</v>
      </c>
      <c r="H8" s="310">
        <v>0.8771929824561403</v>
      </c>
      <c r="I8" s="310">
        <v>4.3859649122807012</v>
      </c>
      <c r="J8" s="311">
        <v>19.298245614035086</v>
      </c>
      <c r="K8" s="309">
        <v>18.421052631578945</v>
      </c>
      <c r="L8" s="310">
        <v>16.666666666666664</v>
      </c>
      <c r="M8" s="310">
        <v>12.280701754385962</v>
      </c>
      <c r="N8" s="310">
        <v>24.561403508771924</v>
      </c>
      <c r="O8" s="311">
        <v>2.6315789473684204</v>
      </c>
    </row>
    <row r="9" spans="1:16" x14ac:dyDescent="0.35">
      <c r="A9" s="48"/>
      <c r="B9" s="452"/>
      <c r="C9" s="453" t="s">
        <v>13</v>
      </c>
      <c r="D9" s="454" t="s">
        <v>233</v>
      </c>
      <c r="E9" s="455">
        <v>2018</v>
      </c>
      <c r="F9" s="456" t="s">
        <v>222</v>
      </c>
      <c r="G9" s="309">
        <v>1.9607843137254901</v>
      </c>
      <c r="H9" s="310">
        <v>0</v>
      </c>
      <c r="I9" s="310">
        <v>5.882352941176471</v>
      </c>
      <c r="J9" s="311">
        <v>44.44444444444445</v>
      </c>
      <c r="K9" s="309">
        <v>33.986928104575163</v>
      </c>
      <c r="L9" s="310">
        <v>12.418300653594772</v>
      </c>
      <c r="M9" s="310">
        <v>0.65359477124183019</v>
      </c>
      <c r="N9" s="310">
        <v>0.65359477124183019</v>
      </c>
      <c r="O9" s="311">
        <v>0</v>
      </c>
    </row>
    <row r="10" spans="1:16" x14ac:dyDescent="0.35">
      <c r="A10" s="48"/>
      <c r="B10" s="452"/>
      <c r="C10" s="453" t="s">
        <v>14</v>
      </c>
      <c r="D10" s="454" t="s">
        <v>39</v>
      </c>
      <c r="E10" s="455">
        <v>2015</v>
      </c>
      <c r="F10" s="456" t="s">
        <v>222</v>
      </c>
      <c r="G10" s="309">
        <v>0.86621751684311832</v>
      </c>
      <c r="H10" s="310">
        <v>9.6246390760346481E-2</v>
      </c>
      <c r="I10" s="310">
        <v>1.5399422521655437</v>
      </c>
      <c r="J10" s="311">
        <v>5.2935514918190565</v>
      </c>
      <c r="K10" s="309">
        <v>23.58036573628489</v>
      </c>
      <c r="L10" s="310">
        <v>67.276227141482195</v>
      </c>
      <c r="M10" s="310">
        <v>1.347449470644851</v>
      </c>
      <c r="N10" s="310">
        <v>0</v>
      </c>
      <c r="O10" s="311">
        <v>0</v>
      </c>
      <c r="P10" s="130"/>
    </row>
    <row r="11" spans="1:16" x14ac:dyDescent="0.35">
      <c r="A11" s="48"/>
      <c r="B11" s="452"/>
      <c r="C11" s="453" t="s">
        <v>15</v>
      </c>
      <c r="D11" s="454" t="s">
        <v>266</v>
      </c>
      <c r="E11" s="455">
        <v>2017</v>
      </c>
      <c r="F11" s="456" t="s">
        <v>222</v>
      </c>
      <c r="G11" s="309">
        <v>0.60060060060060072</v>
      </c>
      <c r="H11" s="310">
        <v>0</v>
      </c>
      <c r="I11" s="310">
        <v>1.0010010010010011</v>
      </c>
      <c r="J11" s="311">
        <v>17.517517517517518</v>
      </c>
      <c r="K11" s="309">
        <v>39.639639639639654</v>
      </c>
      <c r="L11" s="310">
        <v>40.440440440440447</v>
      </c>
      <c r="M11" s="310">
        <v>0.60060060060060072</v>
      </c>
      <c r="N11" s="310">
        <v>0</v>
      </c>
      <c r="O11" s="311">
        <v>0.20020020020020024</v>
      </c>
      <c r="P11" s="130"/>
    </row>
    <row r="12" spans="1:16" x14ac:dyDescent="0.35">
      <c r="A12" s="48"/>
      <c r="B12" s="452"/>
      <c r="C12" s="453" t="s">
        <v>17</v>
      </c>
      <c r="D12" s="454" t="s">
        <v>233</v>
      </c>
      <c r="E12" s="455">
        <v>2018</v>
      </c>
      <c r="F12" s="456" t="s">
        <v>222</v>
      </c>
      <c r="G12" s="309">
        <v>1.6574585635359116</v>
      </c>
      <c r="H12" s="310">
        <v>0</v>
      </c>
      <c r="I12" s="310">
        <v>8.8397790055248606</v>
      </c>
      <c r="J12" s="311">
        <v>35.359116022099442</v>
      </c>
      <c r="K12" s="309">
        <v>32.596685082872931</v>
      </c>
      <c r="L12" s="310">
        <v>14.917127071823206</v>
      </c>
      <c r="M12" s="310">
        <v>4.972375690607735</v>
      </c>
      <c r="N12" s="310">
        <v>0</v>
      </c>
      <c r="O12" s="311">
        <v>1.6574585635359116</v>
      </c>
      <c r="P12" s="130"/>
    </row>
    <row r="13" spans="1:16" ht="15" thickBot="1" x14ac:dyDescent="0.4">
      <c r="A13" s="48"/>
      <c r="B13" s="452"/>
      <c r="C13" s="453" t="s">
        <v>19</v>
      </c>
      <c r="D13" s="454" t="s">
        <v>254</v>
      </c>
      <c r="E13" s="455">
        <v>2017</v>
      </c>
      <c r="F13" s="456" t="s">
        <v>222</v>
      </c>
      <c r="G13" s="460">
        <v>3.6842105263157889</v>
      </c>
      <c r="H13" s="461">
        <v>0.52631578947368418</v>
      </c>
      <c r="I13" s="461">
        <v>3.6842105263157889</v>
      </c>
      <c r="J13" s="462">
        <v>20.526315789473685</v>
      </c>
      <c r="K13" s="460">
        <v>31.578947368421051</v>
      </c>
      <c r="L13" s="461">
        <v>11.05263157894737</v>
      </c>
      <c r="M13" s="461">
        <v>25.789473684210527</v>
      </c>
      <c r="N13" s="461">
        <v>2.1052631578947367</v>
      </c>
      <c r="O13" s="462">
        <v>1.0526315789473684</v>
      </c>
      <c r="P13" s="130"/>
    </row>
    <row r="16" spans="1:16" x14ac:dyDescent="0.35">
      <c r="B16"/>
      <c r="D16"/>
    </row>
    <row r="17" spans="2:13" x14ac:dyDescent="0.35">
      <c r="B17"/>
      <c r="D17"/>
    </row>
    <row r="18" spans="2:13" x14ac:dyDescent="0.35">
      <c r="B18"/>
      <c r="D18"/>
    </row>
    <row r="19" spans="2:13" x14ac:dyDescent="0.35">
      <c r="B19"/>
      <c r="D19"/>
    </row>
    <row r="24" spans="2:13" x14ac:dyDescent="0.35">
      <c r="E24" s="588" t="s">
        <v>212</v>
      </c>
      <c r="F24" s="588"/>
      <c r="G24" s="588"/>
      <c r="H24" s="588"/>
      <c r="I24" t="s">
        <v>213</v>
      </c>
    </row>
    <row r="25" spans="2:13" x14ac:dyDescent="0.35">
      <c r="E25" t="s">
        <v>85</v>
      </c>
      <c r="F25" t="s">
        <v>87</v>
      </c>
      <c r="G25" t="s">
        <v>86</v>
      </c>
      <c r="H25" t="s">
        <v>84</v>
      </c>
      <c r="I25" t="s">
        <v>89</v>
      </c>
      <c r="J25" t="s">
        <v>90</v>
      </c>
      <c r="K25" t="s">
        <v>88</v>
      </c>
      <c r="L25" t="s">
        <v>92</v>
      </c>
      <c r="M25" t="s">
        <v>93</v>
      </c>
    </row>
    <row r="26" spans="2:13" x14ac:dyDescent="0.35">
      <c r="B26" t="s">
        <v>7</v>
      </c>
      <c r="C26" s="339" t="s">
        <v>234</v>
      </c>
      <c r="D26" s="339" t="str">
        <f>B26&amp;":"&amp;C26</f>
        <v>Benin:EDS 2017-18</v>
      </c>
      <c r="E26" s="321">
        <v>0.86206896551724133</v>
      </c>
      <c r="F26" s="321">
        <v>0</v>
      </c>
      <c r="G26" s="321">
        <v>11.206896551724139</v>
      </c>
      <c r="H26" s="321">
        <v>38.793103448275865</v>
      </c>
      <c r="I26" s="321">
        <v>16.379310344827587</v>
      </c>
      <c r="J26" s="321">
        <v>10.344827586206897</v>
      </c>
      <c r="K26" s="321">
        <v>18.103448275862068</v>
      </c>
      <c r="L26" s="321">
        <v>0.86206896551724133</v>
      </c>
      <c r="M26" s="321">
        <v>3.4482758620689653</v>
      </c>
    </row>
    <row r="27" spans="2:13" x14ac:dyDescent="0.35">
      <c r="B27" t="s">
        <v>9</v>
      </c>
      <c r="C27" s="339" t="s">
        <v>265</v>
      </c>
      <c r="D27" s="339" t="str">
        <f t="shared" ref="D27:D34" si="0">B27&amp;":"&amp;C27</f>
        <v>Burkina Faso:PMA 2020</v>
      </c>
      <c r="E27" s="321">
        <v>0.432050274941084</v>
      </c>
      <c r="F27" s="321">
        <v>0</v>
      </c>
      <c r="G27" s="321">
        <v>4.5954438334642562</v>
      </c>
      <c r="H27" s="321">
        <v>46.425765907305575</v>
      </c>
      <c r="I27" s="321">
        <v>26.040848389630789</v>
      </c>
      <c r="J27" s="321">
        <v>9.3872741555380976</v>
      </c>
      <c r="K27" s="321">
        <v>12.372348782403767</v>
      </c>
      <c r="L27" s="321">
        <v>3.9277297721916724E-2</v>
      </c>
      <c r="M27" s="321">
        <v>0.70699135899450105</v>
      </c>
    </row>
    <row r="28" spans="2:13" x14ac:dyDescent="0.35">
      <c r="B28" t="s">
        <v>10</v>
      </c>
      <c r="C28" s="339" t="s">
        <v>231</v>
      </c>
      <c r="D28" s="339" t="str">
        <f t="shared" si="0"/>
        <v xml:space="preserve">Côte d'Ivoire:MICS 2016 </v>
      </c>
      <c r="E28" s="321">
        <v>1.1612021857923498</v>
      </c>
      <c r="F28" s="321">
        <v>1.9125683060109291</v>
      </c>
      <c r="G28" s="321">
        <v>0.47814207650273227</v>
      </c>
      <c r="H28" s="321">
        <v>6.2158469945355188</v>
      </c>
      <c r="I28" s="321">
        <v>28.210382513661202</v>
      </c>
      <c r="J28" s="321">
        <v>39.275956284153004</v>
      </c>
      <c r="K28" s="321">
        <v>19.740437158469945</v>
      </c>
      <c r="L28" s="321">
        <v>2.7322404371584699</v>
      </c>
      <c r="M28" s="321">
        <v>0.27322404371584702</v>
      </c>
    </row>
    <row r="29" spans="2:13" x14ac:dyDescent="0.35">
      <c r="B29" t="s">
        <v>11</v>
      </c>
      <c r="C29" s="339" t="s">
        <v>233</v>
      </c>
      <c r="D29" s="339" t="str">
        <f t="shared" si="0"/>
        <v>Guinea:EDS 2018</v>
      </c>
      <c r="E29" s="321">
        <v>0.8771929824561403</v>
      </c>
      <c r="F29" s="321">
        <v>0.8771929824561403</v>
      </c>
      <c r="G29" s="321">
        <v>4.3859649122807012</v>
      </c>
      <c r="H29" s="321">
        <v>19.298245614035086</v>
      </c>
      <c r="I29" s="321">
        <v>18.421052631578945</v>
      </c>
      <c r="J29" s="321">
        <v>16.666666666666664</v>
      </c>
      <c r="K29" s="321">
        <v>12.280701754385962</v>
      </c>
      <c r="L29" s="321">
        <v>24.561403508771924</v>
      </c>
      <c r="M29" s="321">
        <v>2.6315789473684204</v>
      </c>
    </row>
    <row r="30" spans="2:13" x14ac:dyDescent="0.35">
      <c r="B30" t="s">
        <v>13</v>
      </c>
      <c r="C30" s="339" t="s">
        <v>233</v>
      </c>
      <c r="D30" s="339" t="str">
        <f t="shared" si="0"/>
        <v>Mali:EDS 2018</v>
      </c>
      <c r="E30" s="321">
        <v>1.9607843137254901</v>
      </c>
      <c r="F30" s="321">
        <v>0</v>
      </c>
      <c r="G30" s="321">
        <v>5.882352941176471</v>
      </c>
      <c r="H30" s="321">
        <v>44.44444444444445</v>
      </c>
      <c r="I30" s="321">
        <v>33.986928104575163</v>
      </c>
      <c r="J30" s="321">
        <v>12.418300653594772</v>
      </c>
      <c r="K30" s="321">
        <v>0.65359477124183019</v>
      </c>
      <c r="L30" s="321">
        <v>0.65359477124183019</v>
      </c>
      <c r="M30" s="321">
        <v>0</v>
      </c>
    </row>
    <row r="31" spans="2:13" x14ac:dyDescent="0.35">
      <c r="B31" t="s">
        <v>14</v>
      </c>
      <c r="C31" s="339" t="s">
        <v>39</v>
      </c>
      <c r="D31" s="339" t="str">
        <f t="shared" si="0"/>
        <v>Mauritania:MICS 2015</v>
      </c>
      <c r="E31" s="321">
        <v>0.86621751684311832</v>
      </c>
      <c r="F31" s="321">
        <v>9.6246390760346481E-2</v>
      </c>
      <c r="G31" s="321">
        <v>1.5399422521655437</v>
      </c>
      <c r="H31" s="321">
        <v>5.2935514918190565</v>
      </c>
      <c r="I31" s="321">
        <v>23.58036573628489</v>
      </c>
      <c r="J31" s="321">
        <v>67.276227141482195</v>
      </c>
      <c r="K31" s="321">
        <v>1.347449470644851</v>
      </c>
      <c r="L31" s="321">
        <v>0</v>
      </c>
      <c r="M31" s="321">
        <v>0</v>
      </c>
    </row>
    <row r="32" spans="2:13" x14ac:dyDescent="0.35">
      <c r="B32" t="s">
        <v>15</v>
      </c>
      <c r="C32" s="339" t="s">
        <v>267</v>
      </c>
      <c r="D32" s="339" t="str">
        <f t="shared" si="0"/>
        <v>Niger:PMA 2017</v>
      </c>
      <c r="E32" s="321">
        <v>0.60060060060060072</v>
      </c>
      <c r="F32" s="321">
        <v>0</v>
      </c>
      <c r="G32" s="321">
        <v>1.0010010010010011</v>
      </c>
      <c r="H32" s="321">
        <v>17.517517517517518</v>
      </c>
      <c r="I32" s="321">
        <v>39.639639639639654</v>
      </c>
      <c r="J32" s="321">
        <v>40.440440440440447</v>
      </c>
      <c r="K32" s="321">
        <v>0.60060060060060072</v>
      </c>
      <c r="L32" s="321">
        <v>0</v>
      </c>
      <c r="M32" s="321">
        <v>0.20020020020020024</v>
      </c>
    </row>
    <row r="33" spans="2:13" x14ac:dyDescent="0.35">
      <c r="B33" t="s">
        <v>17</v>
      </c>
      <c r="C33" s="339" t="s">
        <v>233</v>
      </c>
      <c r="D33" s="339" t="str">
        <f t="shared" si="0"/>
        <v>Senegal:EDS 2018</v>
      </c>
      <c r="E33" s="321">
        <v>1.6574585635359116</v>
      </c>
      <c r="F33" s="321">
        <v>0</v>
      </c>
      <c r="G33" s="321">
        <v>8.8397790055248606</v>
      </c>
      <c r="H33" s="321">
        <v>35.359116022099442</v>
      </c>
      <c r="I33" s="321">
        <v>32.596685082872931</v>
      </c>
      <c r="J33" s="321">
        <v>14.917127071823206</v>
      </c>
      <c r="K33" s="321">
        <v>4.972375690607735</v>
      </c>
      <c r="L33" s="321">
        <v>0</v>
      </c>
      <c r="M33" s="321">
        <v>1.6574585635359116</v>
      </c>
    </row>
    <row r="34" spans="2:13" x14ac:dyDescent="0.35">
      <c r="B34" t="s">
        <v>19</v>
      </c>
      <c r="C34" s="339" t="s">
        <v>254</v>
      </c>
      <c r="D34" s="339" t="str">
        <f t="shared" si="0"/>
        <v>Togo:MICS 2017</v>
      </c>
      <c r="E34" s="321">
        <v>3.6842105263157889</v>
      </c>
      <c r="F34" s="321">
        <v>0.52631578947368418</v>
      </c>
      <c r="G34" s="321">
        <v>3.6842105263157889</v>
      </c>
      <c r="H34" s="321">
        <v>20.526315789473685</v>
      </c>
      <c r="I34" s="321">
        <v>31.578947368421051</v>
      </c>
      <c r="J34" s="321">
        <v>11.05263157894737</v>
      </c>
      <c r="K34" s="321">
        <v>25.789473684210527</v>
      </c>
      <c r="L34" s="321">
        <v>2.1052631578947367</v>
      </c>
      <c r="M34" s="321">
        <v>1.0526315789473684</v>
      </c>
    </row>
  </sheetData>
  <mergeCells count="3">
    <mergeCell ref="G3:J3"/>
    <mergeCell ref="K3:O3"/>
    <mergeCell ref="E24:H24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F16AB833-1788-4161-A0C8-FEC63BD397E2}">
            <x14:iconSet showValue="0" custom="1">
              <x14:cfvo type="percent">
                <xm:f>0</xm:f>
              </x14:cfvo>
              <x14:cfvo type="num">
                <xm:f>3.5</xm:f>
              </x14:cfvo>
              <x14:cfvo type="num" gte="0">
                <xm:f>7.5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B5:B13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E303-2CDC-4466-8601-30C7D704EE82}">
  <dimension ref="A2:M34"/>
  <sheetViews>
    <sheetView showGridLines="0" zoomScale="80" zoomScaleNormal="80" workbookViewId="0">
      <selection activeCell="K33" sqref="K33"/>
    </sheetView>
  </sheetViews>
  <sheetFormatPr defaultRowHeight="14.5" x14ac:dyDescent="0.35"/>
  <cols>
    <col min="1" max="1" width="9.08984375" customWidth="1"/>
    <col min="2" max="2" width="16.90625" customWidth="1"/>
    <col min="3" max="3" width="28.36328125" customWidth="1"/>
    <col min="4" max="9" width="16.90625" customWidth="1"/>
  </cols>
  <sheetData>
    <row r="2" spans="1:9" x14ac:dyDescent="0.35">
      <c r="A2" s="589" t="s">
        <v>260</v>
      </c>
      <c r="B2" s="589"/>
    </row>
    <row r="3" spans="1:9" ht="15" thickBot="1" x14ac:dyDescent="0.4"/>
    <row r="4" spans="1:9" ht="15" thickBot="1" x14ac:dyDescent="0.4">
      <c r="C4" s="184"/>
      <c r="D4" s="438">
        <v>2015</v>
      </c>
      <c r="E4" s="438">
        <v>2016</v>
      </c>
      <c r="F4" s="438">
        <v>2017</v>
      </c>
      <c r="G4" s="438">
        <v>2018</v>
      </c>
      <c r="H4" s="438">
        <v>2019</v>
      </c>
      <c r="I4" s="438">
        <v>2020</v>
      </c>
    </row>
    <row r="5" spans="1:9" ht="29.5" thickBot="1" x14ac:dyDescent="0.4">
      <c r="C5" s="436" t="s">
        <v>223</v>
      </c>
      <c r="D5" s="439"/>
      <c r="E5" s="437">
        <v>474000</v>
      </c>
      <c r="F5" s="437">
        <v>998000</v>
      </c>
      <c r="G5" s="437">
        <v>1478000</v>
      </c>
      <c r="H5" s="437">
        <v>1923000</v>
      </c>
      <c r="I5" s="440">
        <v>2399000</v>
      </c>
    </row>
    <row r="6" spans="1:9" ht="15" thickBot="1" x14ac:dyDescent="0.4">
      <c r="C6" s="184"/>
      <c r="D6" s="185">
        <v>2015</v>
      </c>
      <c r="E6" s="185">
        <v>2016</v>
      </c>
      <c r="F6" s="185">
        <v>2017</v>
      </c>
      <c r="G6" s="185">
        <v>2018</v>
      </c>
      <c r="H6" s="185">
        <v>2019</v>
      </c>
      <c r="I6" s="185">
        <v>2020</v>
      </c>
    </row>
    <row r="7" spans="1:9" x14ac:dyDescent="0.35">
      <c r="C7" s="186">
        <v>2016</v>
      </c>
      <c r="D7" s="269">
        <v>0</v>
      </c>
      <c r="E7" s="269">
        <f>E5</f>
        <v>474000</v>
      </c>
      <c r="F7" s="269">
        <f>$E$7</f>
        <v>474000</v>
      </c>
      <c r="G7" s="269">
        <f t="shared" ref="G7:I7" si="0">$E$7</f>
        <v>474000</v>
      </c>
      <c r="H7" s="269">
        <f t="shared" si="0"/>
        <v>474000</v>
      </c>
      <c r="I7" s="441">
        <f t="shared" si="0"/>
        <v>474000</v>
      </c>
    </row>
    <row r="8" spans="1:9" x14ac:dyDescent="0.35">
      <c r="C8" s="442">
        <v>2017</v>
      </c>
      <c r="D8" s="446"/>
      <c r="E8" s="443"/>
      <c r="F8" s="443">
        <f>$F$5-F7</f>
        <v>524000</v>
      </c>
      <c r="G8" s="443">
        <f>$F$8</f>
        <v>524000</v>
      </c>
      <c r="H8" s="443">
        <f t="shared" ref="H8:I8" si="1">$F$8</f>
        <v>524000</v>
      </c>
      <c r="I8" s="444">
        <f t="shared" si="1"/>
        <v>524000</v>
      </c>
    </row>
    <row r="9" spans="1:9" x14ac:dyDescent="0.35">
      <c r="C9" s="442">
        <v>2018</v>
      </c>
      <c r="D9" s="446"/>
      <c r="E9" s="446"/>
      <c r="F9" s="446"/>
      <c r="G9" s="443">
        <f>$G$5-SUM(G7:G8)</f>
        <v>480000</v>
      </c>
      <c r="H9" s="443">
        <f>$G$9</f>
        <v>480000</v>
      </c>
      <c r="I9" s="444">
        <f>$G$9</f>
        <v>480000</v>
      </c>
    </row>
    <row r="10" spans="1:9" x14ac:dyDescent="0.35">
      <c r="C10" s="442">
        <v>2019</v>
      </c>
      <c r="D10" s="445"/>
      <c r="E10" s="445"/>
      <c r="F10" s="445"/>
      <c r="G10" s="445"/>
      <c r="H10" s="443">
        <f>$H$5-SUM(H7:H9)</f>
        <v>445000</v>
      </c>
      <c r="I10" s="444">
        <f>H10</f>
        <v>445000</v>
      </c>
    </row>
    <row r="11" spans="1:9" ht="15" thickBot="1" x14ac:dyDescent="0.4">
      <c r="C11" s="187">
        <v>2020</v>
      </c>
      <c r="D11" s="447"/>
      <c r="E11" s="447"/>
      <c r="F11" s="447"/>
      <c r="G11" s="448"/>
      <c r="H11" s="448"/>
      <c r="I11" s="273">
        <f>I5-SUM(I7:I10)</f>
        <v>476000</v>
      </c>
    </row>
    <row r="12" spans="1:9" ht="29.5" thickBot="1" x14ac:dyDescent="0.4">
      <c r="C12" s="450" t="s">
        <v>224</v>
      </c>
      <c r="D12" s="451">
        <f>$I$12</f>
        <v>2215000</v>
      </c>
      <c r="E12" s="451">
        <f t="shared" ref="E12:H12" si="2">$I$12</f>
        <v>2215000</v>
      </c>
      <c r="F12" s="451">
        <f t="shared" si="2"/>
        <v>2215000</v>
      </c>
      <c r="G12" s="451">
        <f t="shared" si="2"/>
        <v>2215000</v>
      </c>
      <c r="H12" s="451">
        <f t="shared" si="2"/>
        <v>2215000</v>
      </c>
      <c r="I12" s="449">
        <v>2215000</v>
      </c>
    </row>
    <row r="18" spans="3:13" ht="15" customHeight="1" x14ac:dyDescent="0.35">
      <c r="C18" s="319" t="s">
        <v>27</v>
      </c>
      <c r="D18" s="549" t="s">
        <v>30</v>
      </c>
      <c r="E18" s="550"/>
      <c r="F18" s="550"/>
      <c r="G18" s="550"/>
      <c r="H18" s="550"/>
      <c r="I18" s="550"/>
      <c r="J18" s="550"/>
      <c r="K18" s="550"/>
      <c r="L18" s="550"/>
      <c r="M18" s="551"/>
    </row>
    <row r="19" spans="3:13" ht="15" customHeight="1" x14ac:dyDescent="0.35">
      <c r="C19" s="319"/>
      <c r="D19" s="549"/>
      <c r="E19" s="550"/>
      <c r="F19" s="550"/>
      <c r="G19" s="550"/>
      <c r="H19" s="550"/>
      <c r="I19" s="550"/>
      <c r="J19" s="550"/>
      <c r="K19" s="550"/>
      <c r="L19" s="550"/>
      <c r="M19" s="551"/>
    </row>
    <row r="20" spans="3:13" ht="15" customHeight="1" x14ac:dyDescent="0.35">
      <c r="C20" s="319"/>
      <c r="D20" s="23">
        <v>2015.5</v>
      </c>
      <c r="E20" s="23">
        <v>2016.5</v>
      </c>
      <c r="F20" s="23">
        <v>2017.5</v>
      </c>
      <c r="G20" s="23">
        <v>2018.5</v>
      </c>
      <c r="H20" s="23">
        <v>2019.5</v>
      </c>
      <c r="I20" s="71">
        <v>2020.5</v>
      </c>
    </row>
    <row r="21" spans="3:13" x14ac:dyDescent="0.35">
      <c r="C21" s="17" t="s">
        <v>10</v>
      </c>
      <c r="D21" s="12">
        <v>0</v>
      </c>
      <c r="E21" s="12">
        <v>118000</v>
      </c>
      <c r="F21" s="12">
        <v>255000</v>
      </c>
      <c r="G21" s="12">
        <v>367000</v>
      </c>
      <c r="H21" s="12">
        <v>472000</v>
      </c>
      <c r="I21" s="12">
        <v>581000</v>
      </c>
    </row>
    <row r="22" spans="3:13" x14ac:dyDescent="0.35">
      <c r="C22" s="17" t="s">
        <v>9</v>
      </c>
      <c r="D22" s="12">
        <v>0</v>
      </c>
      <c r="E22" s="12">
        <v>110000</v>
      </c>
      <c r="F22" s="12">
        <v>238000</v>
      </c>
      <c r="G22" s="12">
        <v>327000</v>
      </c>
      <c r="H22" s="12">
        <v>388000</v>
      </c>
      <c r="I22" s="12">
        <v>469000</v>
      </c>
    </row>
    <row r="23" spans="3:13" x14ac:dyDescent="0.35">
      <c r="C23" s="18" t="s">
        <v>15</v>
      </c>
      <c r="D23" s="12">
        <v>0</v>
      </c>
      <c r="E23" s="12">
        <v>41000</v>
      </c>
      <c r="F23" s="12">
        <v>97000</v>
      </c>
      <c r="G23" s="12">
        <v>163000</v>
      </c>
      <c r="H23" s="12">
        <v>230000</v>
      </c>
      <c r="I23" s="12">
        <v>302000</v>
      </c>
    </row>
    <row r="24" spans="3:13" x14ac:dyDescent="0.35">
      <c r="C24" s="18" t="s">
        <v>17</v>
      </c>
      <c r="D24" s="12">
        <v>0</v>
      </c>
      <c r="E24" s="12">
        <v>66000</v>
      </c>
      <c r="F24" s="12">
        <v>127000</v>
      </c>
      <c r="G24" s="12">
        <v>174000</v>
      </c>
      <c r="H24" s="12">
        <v>226000</v>
      </c>
      <c r="I24" s="12">
        <v>275000</v>
      </c>
    </row>
    <row r="25" spans="3:13" x14ac:dyDescent="0.35">
      <c r="C25" s="17" t="s">
        <v>13</v>
      </c>
      <c r="D25" s="12">
        <v>0</v>
      </c>
      <c r="E25" s="12">
        <v>46000</v>
      </c>
      <c r="F25" s="12">
        <v>91000</v>
      </c>
      <c r="G25" s="12">
        <v>146000</v>
      </c>
      <c r="H25" s="12">
        <v>197000</v>
      </c>
      <c r="I25" s="12">
        <v>251000</v>
      </c>
    </row>
    <row r="26" spans="3:13" x14ac:dyDescent="0.35">
      <c r="C26" s="17" t="s">
        <v>11</v>
      </c>
      <c r="D26" s="12">
        <v>0</v>
      </c>
      <c r="E26" s="12">
        <v>38000</v>
      </c>
      <c r="F26" s="12">
        <v>80000</v>
      </c>
      <c r="G26" s="12">
        <v>126000</v>
      </c>
      <c r="H26" s="12">
        <v>167000</v>
      </c>
      <c r="I26" s="12">
        <v>208000</v>
      </c>
    </row>
    <row r="27" spans="3:13" x14ac:dyDescent="0.35">
      <c r="C27" s="17" t="s">
        <v>7</v>
      </c>
      <c r="D27" s="12">
        <v>0</v>
      </c>
      <c r="E27" s="12">
        <v>26000</v>
      </c>
      <c r="F27" s="12">
        <v>49000</v>
      </c>
      <c r="G27" s="12">
        <v>81000</v>
      </c>
      <c r="H27" s="12">
        <v>110000</v>
      </c>
      <c r="I27" s="12">
        <v>139000</v>
      </c>
    </row>
    <row r="28" spans="3:13" x14ac:dyDescent="0.35">
      <c r="C28" s="17" t="s">
        <v>19</v>
      </c>
      <c r="D28" s="12">
        <v>0</v>
      </c>
      <c r="E28" s="12">
        <v>21000</v>
      </c>
      <c r="F28" s="12">
        <v>44000</v>
      </c>
      <c r="G28" s="12">
        <v>68000</v>
      </c>
      <c r="H28" s="12">
        <v>97000</v>
      </c>
      <c r="I28" s="12">
        <v>128000</v>
      </c>
    </row>
    <row r="29" spans="3:13" x14ac:dyDescent="0.35">
      <c r="C29" s="17" t="s">
        <v>14</v>
      </c>
      <c r="D29" s="12">
        <v>0</v>
      </c>
      <c r="E29" s="12">
        <v>8000</v>
      </c>
      <c r="F29" s="12">
        <v>17000</v>
      </c>
      <c r="G29" s="12">
        <v>26000</v>
      </c>
      <c r="H29" s="12">
        <v>36000</v>
      </c>
      <c r="I29" s="12">
        <v>46000</v>
      </c>
    </row>
    <row r="31" spans="3:13" x14ac:dyDescent="0.35">
      <c r="C31" s="17" t="s">
        <v>232</v>
      </c>
      <c r="D31" s="268">
        <v>2215000</v>
      </c>
      <c r="E31" s="268">
        <v>2215000</v>
      </c>
      <c r="F31" s="268">
        <v>2215000</v>
      </c>
      <c r="G31" s="268">
        <v>2215000</v>
      </c>
      <c r="H31" s="268">
        <v>2215000</v>
      </c>
      <c r="I31" s="268">
        <v>2215000</v>
      </c>
    </row>
    <row r="32" spans="3:13" x14ac:dyDescent="0.35">
      <c r="E32" s="16">
        <f>SUM(E21:E29)</f>
        <v>474000</v>
      </c>
      <c r="F32" s="16">
        <f t="shared" ref="F32:I32" si="3">SUM(F21:F29)</f>
        <v>998000</v>
      </c>
      <c r="G32" s="16">
        <f t="shared" si="3"/>
        <v>1478000</v>
      </c>
      <c r="H32" s="16">
        <f t="shared" si="3"/>
        <v>1923000</v>
      </c>
      <c r="I32" s="16">
        <f t="shared" si="3"/>
        <v>2399000</v>
      </c>
    </row>
    <row r="33" spans="5:9" x14ac:dyDescent="0.35">
      <c r="E33" s="320" t="str">
        <f>TEXT(E32/1000000, "0.0")&amp;" M"</f>
        <v>0.0 M</v>
      </c>
      <c r="F33" s="320" t="str">
        <f t="shared" ref="F33:I33" si="4">TEXT(F32/1000000, "0.0")&amp;" M"</f>
        <v>0.1 M</v>
      </c>
      <c r="G33" s="320" t="str">
        <f t="shared" si="4"/>
        <v>0.1 M</v>
      </c>
      <c r="H33" s="320" t="str">
        <f t="shared" si="4"/>
        <v>0.2 M</v>
      </c>
      <c r="I33" s="320" t="str">
        <f t="shared" si="4"/>
        <v>0.2 M</v>
      </c>
    </row>
    <row r="34" spans="5:9" x14ac:dyDescent="0.35">
      <c r="F34" s="16"/>
      <c r="G34" s="16"/>
      <c r="H34" s="16"/>
      <c r="I34" s="16"/>
    </row>
  </sheetData>
  <autoFilter ref="C20:I29" xr:uid="{9151C8E0-AE1C-48DE-BD41-B25F3A262174}">
    <sortState xmlns:xlrd2="http://schemas.microsoft.com/office/spreadsheetml/2017/richdata2" ref="C21:I29">
      <sortCondition descending="1" ref="I20:I29"/>
    </sortState>
  </autoFilter>
  <mergeCells count="2">
    <mergeCell ref="D18:M19"/>
    <mergeCell ref="A2:B2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3D4C214-6096-41D8-A347-3E207B3437BB}">
            <xm:f>ABS(D21-'\Users\jwilliamson\Dropbox\FPET Data\Indicator 1-4 Calculations\[Indicators 1-4 Annual Report Consolidated 2.9.16.xlsx]2016 Update (Jan 2016) v1'!#REF!)&gt;0.1</xm:f>
            <x14:dxf>
              <fill>
                <patternFill>
                  <bgColor rgb="FFFFCC66"/>
                </patternFill>
              </fill>
            </x14:dxf>
          </x14:cfRule>
          <xm:sqref>D21:I29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Calculation Sheet</vt:lpstr>
      <vt:lpstr>Source Data</vt:lpstr>
      <vt:lpstr>mCPR - TPCM</vt:lpstr>
      <vt:lpstr>BNS - BS</vt:lpstr>
      <vt:lpstr>Users - Utilisateurs</vt:lpstr>
      <vt:lpstr>Impacts</vt:lpstr>
      <vt:lpstr>Country Handout (FR)</vt:lpstr>
      <vt:lpstr>Method Mix</vt:lpstr>
      <vt:lpstr>Additional Users Graphic</vt:lpstr>
      <vt:lpstr>OP Goals</vt:lpstr>
      <vt:lpstr>Country Achievement - Add Users</vt:lpstr>
      <vt:lpstr>French Country Names</vt:lpstr>
      <vt:lpstr>'Country Handout (FR)'!Print_Area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jwilliamson</dc:creator>
  <cp:lastModifiedBy>Sean Vivier</cp:lastModifiedBy>
  <cp:lastPrinted>2020-11-02T17:44:52Z</cp:lastPrinted>
  <dcterms:created xsi:type="dcterms:W3CDTF">2018-12-14T17:32:50Z</dcterms:created>
  <dcterms:modified xsi:type="dcterms:W3CDTF">2021-01-13T18:22:36Z</dcterms:modified>
</cp:coreProperties>
</file>